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ktrhahd01z\函館運輸支局\03_輸送・監査\02_旅客関係\06_自家用自動車有償運送\02　自家用旅客有償運送\02　登録簿\01_登録簿\"/>
    </mc:Choice>
  </mc:AlternateContent>
  <xr:revisionPtr revIDLastSave="0" documentId="8_{0CAF58A5-B912-483C-AC74-24387543CF0B}" xr6:coauthVersionLast="47" xr6:coauthVersionMax="47" xr10:uidLastSave="{00000000-0000-0000-0000-000000000000}"/>
  <bookViews>
    <workbookView xWindow="-108" yWindow="-108" windowWidth="23256" windowHeight="12456" xr2:uid="{BB8837F4-5E8F-4567-8B25-08D5A1B78F07}"/>
  </bookViews>
  <sheets>
    <sheet name="福祉" sheetId="1" r:id="rId1"/>
    <sheet name="旅客の範囲" sheetId="2" r:id="rId2"/>
    <sheet name="市福1" sheetId="3" r:id="rId3"/>
    <sheet name="市福2" sheetId="4" r:id="rId4"/>
    <sheet name="1" sheetId="5" r:id="rId5"/>
    <sheet name="2" sheetId="6" r:id="rId6"/>
    <sheet name="3" sheetId="7" r:id="rId7"/>
    <sheet name="4" sheetId="8" r:id="rId8"/>
    <sheet name="6" sheetId="9" r:id="rId9"/>
    <sheet name="7" sheetId="10" r:id="rId10"/>
    <sheet name="9" sheetId="11" r:id="rId11"/>
    <sheet name="10" sheetId="12" r:id="rId12"/>
    <sheet name="11" sheetId="13" r:id="rId13"/>
    <sheet name="15" sheetId="14" r:id="rId14"/>
    <sheet name="16" sheetId="15" r:id="rId15"/>
    <sheet name="17" sheetId="16" r:id="rId16"/>
    <sheet name="18" sheetId="17" r:id="rId17"/>
    <sheet name="20" sheetId="18" r:id="rId18"/>
    <sheet name="21" sheetId="19" r:id="rId19"/>
    <sheet name="22" sheetId="20" r:id="rId20"/>
    <sheet name="24" sheetId="21" r:id="rId21"/>
    <sheet name="25" sheetId="22" r:id="rId22"/>
    <sheet name="26" sheetId="23" r:id="rId23"/>
    <sheet name="27" sheetId="24" r:id="rId24"/>
  </sheets>
  <definedNames>
    <definedName name="_xlnm.Print_Area" localSheetId="4">'1'!$A$1:$K$36</definedName>
    <definedName name="_xlnm.Print_Area" localSheetId="11">'10'!$A$1:$K$36</definedName>
    <definedName name="_xlnm.Print_Area" localSheetId="12">'11'!$A$1:$K$36</definedName>
    <definedName name="_xlnm.Print_Area" localSheetId="13">'15'!$A$1:$K$36</definedName>
    <definedName name="_xlnm.Print_Area" localSheetId="14">'16'!$A$1:$K$36</definedName>
    <definedName name="_xlnm.Print_Area" localSheetId="15">'17'!$A$1:$K$36</definedName>
    <definedName name="_xlnm.Print_Area" localSheetId="16">'18'!$A$1:$K$36</definedName>
    <definedName name="_xlnm.Print_Area" localSheetId="5">'2'!$A$1:$K$36</definedName>
    <definedName name="_xlnm.Print_Area" localSheetId="17">'20'!$A$1:$K$36</definedName>
    <definedName name="_xlnm.Print_Area" localSheetId="18">'21'!$A$1:$K$36</definedName>
    <definedName name="_xlnm.Print_Area" localSheetId="19">'22'!$A$1:$K$36</definedName>
    <definedName name="_xlnm.Print_Area" localSheetId="20">'24'!$A$1:$K$36</definedName>
    <definedName name="_xlnm.Print_Area" localSheetId="21">'25'!$A$1:$K$36</definedName>
    <definedName name="_xlnm.Print_Area" localSheetId="22">'26'!$A$1:$K$36</definedName>
    <definedName name="_xlnm.Print_Area" localSheetId="23">'27'!$A$1:$K$36</definedName>
    <definedName name="_xlnm.Print_Area" localSheetId="6">'3'!$A$1:$K$36</definedName>
    <definedName name="_xlnm.Print_Area" localSheetId="7">'4'!$A$1:$K$36</definedName>
    <definedName name="_xlnm.Print_Area" localSheetId="8">'6'!$A$1:$K$36</definedName>
    <definedName name="_xlnm.Print_Area" localSheetId="9">'7'!$A$1:$K$36</definedName>
    <definedName name="_xlnm.Print_Area" localSheetId="10">'9'!$A$1:$K$36</definedName>
    <definedName name="_xlnm.Print_Area" localSheetId="2">市福1!$A$1:$K$36</definedName>
    <definedName name="_xlnm.Print_Area" localSheetId="3">市福2!$A$1:$K$36</definedName>
    <definedName name="_xlnm.Print_Area" localSheetId="0">福祉!$A$1:$I$23</definedName>
    <definedName name="_xlnm.Print_Area" localSheetId="1">旅客の範囲!$A$1:$L$16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24" l="1"/>
  <c r="H33" i="24"/>
  <c r="G33" i="24"/>
  <c r="F33" i="24"/>
  <c r="E33" i="24"/>
  <c r="K33" i="24" s="1"/>
  <c r="J32" i="24"/>
  <c r="I32" i="24"/>
  <c r="H32" i="24"/>
  <c r="G32" i="24"/>
  <c r="F32" i="24"/>
  <c r="E32" i="24"/>
  <c r="I30" i="24"/>
  <c r="H30" i="24"/>
  <c r="G30" i="24"/>
  <c r="F30" i="24"/>
  <c r="E30" i="24"/>
  <c r="K30" i="24" s="1"/>
  <c r="J29" i="24"/>
  <c r="I29" i="24"/>
  <c r="H29" i="24"/>
  <c r="G29" i="24"/>
  <c r="F29" i="24"/>
  <c r="E29" i="24"/>
  <c r="I27" i="24"/>
  <c r="H27" i="24"/>
  <c r="G27" i="24"/>
  <c r="F27" i="24"/>
  <c r="E27" i="24"/>
  <c r="J26" i="24"/>
  <c r="I26" i="24"/>
  <c r="H26" i="24"/>
  <c r="G26" i="24"/>
  <c r="F26" i="24"/>
  <c r="E26" i="24"/>
  <c r="K26" i="24" s="1"/>
  <c r="I24" i="24"/>
  <c r="I36" i="24" s="1"/>
  <c r="H24" i="24"/>
  <c r="H36" i="24" s="1"/>
  <c r="G24" i="24"/>
  <c r="F24" i="24"/>
  <c r="F36" i="24" s="1"/>
  <c r="E24" i="24"/>
  <c r="J23" i="24"/>
  <c r="I23" i="24"/>
  <c r="H23" i="24"/>
  <c r="G23" i="24"/>
  <c r="G35" i="24" s="1"/>
  <c r="F23" i="24"/>
  <c r="E23" i="24"/>
  <c r="E35" i="24" s="1"/>
  <c r="D15" i="24"/>
  <c r="D14" i="24"/>
  <c r="J13" i="24"/>
  <c r="H13" i="24"/>
  <c r="C31" i="24" s="1"/>
  <c r="F13" i="24"/>
  <c r="D13" i="24"/>
  <c r="C25" i="24" s="1"/>
  <c r="J12" i="24"/>
  <c r="H12" i="24"/>
  <c r="C28" i="24" s="1"/>
  <c r="F12" i="24"/>
  <c r="D12" i="24"/>
  <c r="C22" i="24" s="1"/>
  <c r="D8" i="24"/>
  <c r="D7" i="24"/>
  <c r="D6" i="24"/>
  <c r="D5" i="24"/>
  <c r="D4" i="24"/>
  <c r="D3" i="24"/>
  <c r="I33" i="23"/>
  <c r="H33" i="23"/>
  <c r="G33" i="23"/>
  <c r="F33" i="23"/>
  <c r="E33" i="23"/>
  <c r="K33" i="23" s="1"/>
  <c r="J32" i="23"/>
  <c r="I32" i="23"/>
  <c r="H32" i="23"/>
  <c r="G32" i="23"/>
  <c r="F32" i="23"/>
  <c r="E32" i="23"/>
  <c r="I30" i="23"/>
  <c r="H30" i="23"/>
  <c r="G30" i="23"/>
  <c r="F30" i="23"/>
  <c r="E30" i="23"/>
  <c r="J29" i="23"/>
  <c r="K29" i="23" s="1"/>
  <c r="I29" i="23"/>
  <c r="H29" i="23"/>
  <c r="G29" i="23"/>
  <c r="F29" i="23"/>
  <c r="E29" i="23"/>
  <c r="I27" i="23"/>
  <c r="H27" i="23"/>
  <c r="G27" i="23"/>
  <c r="F27" i="23"/>
  <c r="E27" i="23"/>
  <c r="K27" i="23" s="1"/>
  <c r="J26" i="23"/>
  <c r="I26" i="23"/>
  <c r="H26" i="23"/>
  <c r="G26" i="23"/>
  <c r="F26" i="23"/>
  <c r="E26" i="23"/>
  <c r="I24" i="23"/>
  <c r="I36" i="23" s="1"/>
  <c r="H24" i="23"/>
  <c r="G24" i="23"/>
  <c r="G36" i="23" s="1"/>
  <c r="F24" i="23"/>
  <c r="E24" i="23"/>
  <c r="K24" i="23" s="1"/>
  <c r="J23" i="23"/>
  <c r="I23" i="23"/>
  <c r="H23" i="23"/>
  <c r="H35" i="23" s="1"/>
  <c r="G23" i="23"/>
  <c r="G35" i="23" s="1"/>
  <c r="F23" i="23"/>
  <c r="F35" i="23" s="1"/>
  <c r="E23" i="23"/>
  <c r="D15" i="23"/>
  <c r="D14" i="23"/>
  <c r="J13" i="23"/>
  <c r="H13" i="23"/>
  <c r="C31" i="23" s="1"/>
  <c r="F13" i="23"/>
  <c r="D13" i="23"/>
  <c r="C25" i="23" s="1"/>
  <c r="J12" i="23"/>
  <c r="H12" i="23"/>
  <c r="C28" i="23" s="1"/>
  <c r="F12" i="23"/>
  <c r="D12" i="23"/>
  <c r="C22" i="23" s="1"/>
  <c r="D8" i="23"/>
  <c r="D7" i="23"/>
  <c r="D6" i="23"/>
  <c r="D5" i="23"/>
  <c r="D4" i="23"/>
  <c r="D3" i="23"/>
  <c r="I35" i="22"/>
  <c r="I33" i="22"/>
  <c r="H33" i="22"/>
  <c r="G33" i="22"/>
  <c r="F33" i="22"/>
  <c r="E33" i="22"/>
  <c r="J32" i="22"/>
  <c r="I32" i="22"/>
  <c r="H32" i="22"/>
  <c r="G32" i="22"/>
  <c r="F32" i="22"/>
  <c r="E32" i="22"/>
  <c r="I30" i="22"/>
  <c r="H30" i="22"/>
  <c r="G30" i="22"/>
  <c r="F30" i="22"/>
  <c r="E30" i="22"/>
  <c r="J29" i="22"/>
  <c r="I29" i="22"/>
  <c r="H29" i="22"/>
  <c r="G29" i="22"/>
  <c r="F29" i="22"/>
  <c r="E29" i="22"/>
  <c r="K29" i="22" s="1"/>
  <c r="I27" i="22"/>
  <c r="H27" i="22"/>
  <c r="G27" i="22"/>
  <c r="G36" i="22" s="1"/>
  <c r="F27" i="22"/>
  <c r="E27" i="22"/>
  <c r="J26" i="22"/>
  <c r="I26" i="22"/>
  <c r="H26" i="22"/>
  <c r="G26" i="22"/>
  <c r="F26" i="22"/>
  <c r="E26" i="22"/>
  <c r="I24" i="22"/>
  <c r="H24" i="22"/>
  <c r="G24" i="22"/>
  <c r="F24" i="22"/>
  <c r="K24" i="22" s="1"/>
  <c r="E24" i="22"/>
  <c r="J23" i="22"/>
  <c r="I23" i="22"/>
  <c r="H23" i="22"/>
  <c r="G23" i="22"/>
  <c r="F23" i="22"/>
  <c r="E23" i="22"/>
  <c r="E35" i="22" s="1"/>
  <c r="D15" i="22"/>
  <c r="D14" i="22"/>
  <c r="J13" i="22"/>
  <c r="H13" i="22"/>
  <c r="C31" i="22" s="1"/>
  <c r="F13" i="22"/>
  <c r="D13" i="22"/>
  <c r="C25" i="22" s="1"/>
  <c r="J12" i="22"/>
  <c r="H12" i="22"/>
  <c r="C28" i="22" s="1"/>
  <c r="F12" i="22"/>
  <c r="D12" i="22"/>
  <c r="C22" i="22" s="1"/>
  <c r="D8" i="22"/>
  <c r="D7" i="22"/>
  <c r="D6" i="22"/>
  <c r="D5" i="22"/>
  <c r="D4" i="22"/>
  <c r="D3" i="22"/>
  <c r="I33" i="21"/>
  <c r="H33" i="21"/>
  <c r="G33" i="21"/>
  <c r="F33" i="21"/>
  <c r="E33" i="21"/>
  <c r="K33" i="21" s="1"/>
  <c r="J32" i="21"/>
  <c r="I32" i="21"/>
  <c r="H32" i="21"/>
  <c r="G32" i="21"/>
  <c r="F32" i="21"/>
  <c r="E32" i="21"/>
  <c r="K32" i="21" s="1"/>
  <c r="I30" i="21"/>
  <c r="H30" i="21"/>
  <c r="G30" i="21"/>
  <c r="F30" i="21"/>
  <c r="E30" i="21"/>
  <c r="K30" i="21" s="1"/>
  <c r="J29" i="21"/>
  <c r="I29" i="21"/>
  <c r="H29" i="21"/>
  <c r="G29" i="21"/>
  <c r="F29" i="21"/>
  <c r="E29" i="21"/>
  <c r="I27" i="21"/>
  <c r="H27" i="21"/>
  <c r="G27" i="21"/>
  <c r="F27" i="21"/>
  <c r="E27" i="21"/>
  <c r="J26" i="21"/>
  <c r="I26" i="21"/>
  <c r="H26" i="21"/>
  <c r="G26" i="21"/>
  <c r="F26" i="21"/>
  <c r="E26" i="21"/>
  <c r="I24" i="21"/>
  <c r="H24" i="21"/>
  <c r="G24" i="21"/>
  <c r="G36" i="21" s="1"/>
  <c r="F24" i="21"/>
  <c r="F36" i="21" s="1"/>
  <c r="E24" i="21"/>
  <c r="J23" i="21"/>
  <c r="J35" i="21" s="1"/>
  <c r="I23" i="21"/>
  <c r="H23" i="21"/>
  <c r="G23" i="21"/>
  <c r="F23" i="21"/>
  <c r="E23" i="21"/>
  <c r="E35" i="21" s="1"/>
  <c r="C22" i="21"/>
  <c r="D15" i="21"/>
  <c r="D14" i="21"/>
  <c r="J13" i="21"/>
  <c r="H13" i="21"/>
  <c r="C31" i="21" s="1"/>
  <c r="F13" i="21"/>
  <c r="D13" i="21"/>
  <c r="C25" i="21" s="1"/>
  <c r="J12" i="21"/>
  <c r="H12" i="21"/>
  <c r="C28" i="21" s="1"/>
  <c r="F12" i="21"/>
  <c r="D12" i="21"/>
  <c r="D8" i="21"/>
  <c r="D7" i="21"/>
  <c r="D6" i="21"/>
  <c r="D5" i="21"/>
  <c r="D4" i="21"/>
  <c r="D3" i="21"/>
  <c r="I33" i="20"/>
  <c r="H33" i="20"/>
  <c r="G33" i="20"/>
  <c r="F33" i="20"/>
  <c r="E33" i="20"/>
  <c r="J32" i="20"/>
  <c r="I32" i="20"/>
  <c r="H32" i="20"/>
  <c r="G32" i="20"/>
  <c r="F32" i="20"/>
  <c r="E32" i="20"/>
  <c r="I30" i="20"/>
  <c r="H30" i="20"/>
  <c r="G30" i="20"/>
  <c r="K30" i="20" s="1"/>
  <c r="F30" i="20"/>
  <c r="E30" i="20"/>
  <c r="J29" i="20"/>
  <c r="I29" i="20"/>
  <c r="H29" i="20"/>
  <c r="G29" i="20"/>
  <c r="F29" i="20"/>
  <c r="E29" i="20"/>
  <c r="I27" i="20"/>
  <c r="H27" i="20"/>
  <c r="G27" i="20"/>
  <c r="F27" i="20"/>
  <c r="F36" i="20" s="1"/>
  <c r="E27" i="20"/>
  <c r="J26" i="20"/>
  <c r="I26" i="20"/>
  <c r="I35" i="20" s="1"/>
  <c r="H26" i="20"/>
  <c r="G26" i="20"/>
  <c r="F26" i="20"/>
  <c r="E26" i="20"/>
  <c r="K26" i="20" s="1"/>
  <c r="I24" i="20"/>
  <c r="H24" i="20"/>
  <c r="H36" i="20" s="1"/>
  <c r="G24" i="20"/>
  <c r="F24" i="20"/>
  <c r="E24" i="20"/>
  <c r="J23" i="20"/>
  <c r="K23" i="20" s="1"/>
  <c r="G23" i="20"/>
  <c r="G35" i="20" s="1"/>
  <c r="F23" i="20"/>
  <c r="E23" i="20"/>
  <c r="C22" i="20"/>
  <c r="D15" i="20"/>
  <c r="D14" i="20"/>
  <c r="J13" i="20"/>
  <c r="H13" i="20"/>
  <c r="C31" i="20" s="1"/>
  <c r="F13" i="20"/>
  <c r="D13" i="20"/>
  <c r="C25" i="20" s="1"/>
  <c r="J12" i="20"/>
  <c r="H12" i="20"/>
  <c r="C28" i="20" s="1"/>
  <c r="F12" i="20"/>
  <c r="D12" i="20"/>
  <c r="D8" i="20"/>
  <c r="D7" i="20"/>
  <c r="D6" i="20"/>
  <c r="D5" i="20"/>
  <c r="D4" i="20"/>
  <c r="D3" i="20"/>
  <c r="G36" i="19"/>
  <c r="J35" i="19"/>
  <c r="I33" i="19"/>
  <c r="H33" i="19"/>
  <c r="G33" i="19"/>
  <c r="F33" i="19"/>
  <c r="E33" i="19"/>
  <c r="J32" i="19"/>
  <c r="I32" i="19"/>
  <c r="H32" i="19"/>
  <c r="G32" i="19"/>
  <c r="F32" i="19"/>
  <c r="K32" i="19" s="1"/>
  <c r="E32" i="19"/>
  <c r="I30" i="19"/>
  <c r="H30" i="19"/>
  <c r="G30" i="19"/>
  <c r="F30" i="19"/>
  <c r="K30" i="19" s="1"/>
  <c r="E30" i="19"/>
  <c r="J29" i="19"/>
  <c r="I29" i="19"/>
  <c r="H29" i="19"/>
  <c r="G29" i="19"/>
  <c r="F29" i="19"/>
  <c r="E29" i="19"/>
  <c r="I27" i="19"/>
  <c r="H27" i="19"/>
  <c r="G27" i="19"/>
  <c r="F27" i="19"/>
  <c r="E27" i="19"/>
  <c r="J26" i="19"/>
  <c r="I26" i="19"/>
  <c r="H26" i="19"/>
  <c r="G26" i="19"/>
  <c r="F26" i="19"/>
  <c r="E26" i="19"/>
  <c r="I24" i="19"/>
  <c r="I36" i="19" s="1"/>
  <c r="H24" i="19"/>
  <c r="G24" i="19"/>
  <c r="F24" i="19"/>
  <c r="E24" i="19"/>
  <c r="K24" i="19" s="1"/>
  <c r="J23" i="19"/>
  <c r="I23" i="19"/>
  <c r="I35" i="19" s="1"/>
  <c r="H23" i="19"/>
  <c r="G23" i="19"/>
  <c r="F23" i="19"/>
  <c r="F35" i="19" s="1"/>
  <c r="E23" i="19"/>
  <c r="D15" i="19"/>
  <c r="D14" i="19"/>
  <c r="J13" i="19"/>
  <c r="H13" i="19"/>
  <c r="C31" i="19" s="1"/>
  <c r="F13" i="19"/>
  <c r="D13" i="19"/>
  <c r="C25" i="19" s="1"/>
  <c r="J12" i="19"/>
  <c r="H12" i="19"/>
  <c r="C28" i="19" s="1"/>
  <c r="F12" i="19"/>
  <c r="D12" i="19"/>
  <c r="C22" i="19" s="1"/>
  <c r="D8" i="19"/>
  <c r="D7" i="19"/>
  <c r="D6" i="19"/>
  <c r="D5" i="19"/>
  <c r="D4" i="19"/>
  <c r="D3" i="19"/>
  <c r="I33" i="18"/>
  <c r="H33" i="18"/>
  <c r="G33" i="18"/>
  <c r="F33" i="18"/>
  <c r="E33" i="18"/>
  <c r="J32" i="18"/>
  <c r="I32" i="18"/>
  <c r="H32" i="18"/>
  <c r="G32" i="18"/>
  <c r="F32" i="18"/>
  <c r="E32" i="18"/>
  <c r="K32" i="18" s="1"/>
  <c r="I30" i="18"/>
  <c r="H30" i="18"/>
  <c r="G30" i="18"/>
  <c r="F30" i="18"/>
  <c r="E30" i="18"/>
  <c r="J29" i="18"/>
  <c r="I29" i="18"/>
  <c r="H29" i="18"/>
  <c r="G29" i="18"/>
  <c r="F29" i="18"/>
  <c r="E29" i="18"/>
  <c r="K29" i="18" s="1"/>
  <c r="I27" i="18"/>
  <c r="H27" i="18"/>
  <c r="H36" i="18" s="1"/>
  <c r="G27" i="18"/>
  <c r="F27" i="18"/>
  <c r="E27" i="18"/>
  <c r="K27" i="18" s="1"/>
  <c r="J26" i="18"/>
  <c r="I26" i="18"/>
  <c r="H26" i="18"/>
  <c r="G26" i="18"/>
  <c r="F26" i="18"/>
  <c r="E26" i="18"/>
  <c r="I24" i="18"/>
  <c r="H24" i="18"/>
  <c r="G24" i="18"/>
  <c r="F24" i="18"/>
  <c r="E24" i="18"/>
  <c r="J23" i="18"/>
  <c r="J35" i="18" s="1"/>
  <c r="I23" i="18"/>
  <c r="H23" i="18"/>
  <c r="G23" i="18"/>
  <c r="G35" i="18" s="1"/>
  <c r="F23" i="18"/>
  <c r="E23" i="18"/>
  <c r="D15" i="18"/>
  <c r="D14" i="18"/>
  <c r="J13" i="18"/>
  <c r="H13" i="18"/>
  <c r="C31" i="18" s="1"/>
  <c r="F13" i="18"/>
  <c r="D13" i="18"/>
  <c r="C25" i="18" s="1"/>
  <c r="J12" i="18"/>
  <c r="H12" i="18"/>
  <c r="C28" i="18" s="1"/>
  <c r="F12" i="18"/>
  <c r="D12" i="18"/>
  <c r="C22" i="18" s="1"/>
  <c r="D8" i="18"/>
  <c r="D7" i="18"/>
  <c r="D6" i="18"/>
  <c r="D5" i="18"/>
  <c r="D4" i="18"/>
  <c r="D3" i="18"/>
  <c r="E36" i="17"/>
  <c r="H35" i="17"/>
  <c r="I33" i="17"/>
  <c r="H33" i="17"/>
  <c r="G33" i="17"/>
  <c r="F33" i="17"/>
  <c r="E33" i="17"/>
  <c r="K33" i="17" s="1"/>
  <c r="J32" i="17"/>
  <c r="I32" i="17"/>
  <c r="H32" i="17"/>
  <c r="G32" i="17"/>
  <c r="F32" i="17"/>
  <c r="E32" i="17"/>
  <c r="K32" i="17" s="1"/>
  <c r="I30" i="17"/>
  <c r="H30" i="17"/>
  <c r="G30" i="17"/>
  <c r="F30" i="17"/>
  <c r="E30" i="17"/>
  <c r="J29" i="17"/>
  <c r="I29" i="17"/>
  <c r="H29" i="17"/>
  <c r="G29" i="17"/>
  <c r="F29" i="17"/>
  <c r="E29" i="17"/>
  <c r="I27" i="17"/>
  <c r="H27" i="17"/>
  <c r="G27" i="17"/>
  <c r="F27" i="17"/>
  <c r="E27" i="17"/>
  <c r="J26" i="17"/>
  <c r="I26" i="17"/>
  <c r="H26" i="17"/>
  <c r="G26" i="17"/>
  <c r="F26" i="17"/>
  <c r="E26" i="17"/>
  <c r="K26" i="17" s="1"/>
  <c r="I24" i="17"/>
  <c r="I36" i="17" s="1"/>
  <c r="H24" i="17"/>
  <c r="H36" i="17" s="1"/>
  <c r="G24" i="17"/>
  <c r="F24" i="17"/>
  <c r="E24" i="17"/>
  <c r="J23" i="17"/>
  <c r="I23" i="17"/>
  <c r="H23" i="17"/>
  <c r="G23" i="17"/>
  <c r="F23" i="17"/>
  <c r="E23" i="17"/>
  <c r="K23" i="17" s="1"/>
  <c r="C22" i="17"/>
  <c r="D15" i="17"/>
  <c r="D14" i="17"/>
  <c r="J13" i="17"/>
  <c r="H13" i="17"/>
  <c r="C31" i="17" s="1"/>
  <c r="F13" i="17"/>
  <c r="D13" i="17"/>
  <c r="C25" i="17" s="1"/>
  <c r="J12" i="17"/>
  <c r="H12" i="17"/>
  <c r="C28" i="17" s="1"/>
  <c r="F12" i="17"/>
  <c r="D12" i="17"/>
  <c r="D8" i="17"/>
  <c r="D7" i="17"/>
  <c r="D6" i="17"/>
  <c r="D5" i="17"/>
  <c r="D4" i="17"/>
  <c r="D3" i="17"/>
  <c r="I33" i="16"/>
  <c r="H33" i="16"/>
  <c r="G33" i="16"/>
  <c r="F33" i="16"/>
  <c r="E33" i="16"/>
  <c r="J32" i="16"/>
  <c r="I32" i="16"/>
  <c r="H32" i="16"/>
  <c r="G32" i="16"/>
  <c r="F32" i="16"/>
  <c r="E32" i="16"/>
  <c r="I30" i="16"/>
  <c r="H30" i="16"/>
  <c r="G30" i="16"/>
  <c r="F30" i="16"/>
  <c r="E30" i="16"/>
  <c r="K30" i="16" s="1"/>
  <c r="J29" i="16"/>
  <c r="I29" i="16"/>
  <c r="H29" i="16"/>
  <c r="G29" i="16"/>
  <c r="F29" i="16"/>
  <c r="E29" i="16"/>
  <c r="I27" i="16"/>
  <c r="H27" i="16"/>
  <c r="G27" i="16"/>
  <c r="F27" i="16"/>
  <c r="E27" i="16"/>
  <c r="J26" i="16"/>
  <c r="I26" i="16"/>
  <c r="H26" i="16"/>
  <c r="G26" i="16"/>
  <c r="F26" i="16"/>
  <c r="E26" i="16"/>
  <c r="I24" i="16"/>
  <c r="H24" i="16"/>
  <c r="G24" i="16"/>
  <c r="F24" i="16"/>
  <c r="F36" i="16" s="1"/>
  <c r="E24" i="16"/>
  <c r="J23" i="16"/>
  <c r="I23" i="16"/>
  <c r="I35" i="16" s="1"/>
  <c r="H23" i="16"/>
  <c r="G23" i="16"/>
  <c r="G35" i="16" s="1"/>
  <c r="F23" i="16"/>
  <c r="E23" i="16"/>
  <c r="E35" i="16" s="1"/>
  <c r="C22" i="16"/>
  <c r="D15" i="16"/>
  <c r="D14" i="16"/>
  <c r="J13" i="16"/>
  <c r="H13" i="16"/>
  <c r="C31" i="16" s="1"/>
  <c r="F13" i="16"/>
  <c r="D13" i="16"/>
  <c r="C25" i="16" s="1"/>
  <c r="J12" i="16"/>
  <c r="H12" i="16"/>
  <c r="C28" i="16" s="1"/>
  <c r="F12" i="16"/>
  <c r="D12" i="16"/>
  <c r="D8" i="16"/>
  <c r="D7" i="16"/>
  <c r="D6" i="16"/>
  <c r="D5" i="16"/>
  <c r="D4" i="16"/>
  <c r="D3" i="16"/>
  <c r="I33" i="15"/>
  <c r="H33" i="15"/>
  <c r="G33" i="15"/>
  <c r="F33" i="15"/>
  <c r="E33" i="15"/>
  <c r="J32" i="15"/>
  <c r="I32" i="15"/>
  <c r="H32" i="15"/>
  <c r="G32" i="15"/>
  <c r="F32" i="15"/>
  <c r="E32" i="15"/>
  <c r="I30" i="15"/>
  <c r="H30" i="15"/>
  <c r="G30" i="15"/>
  <c r="F30" i="15"/>
  <c r="E30" i="15"/>
  <c r="J29" i="15"/>
  <c r="I29" i="15"/>
  <c r="H29" i="15"/>
  <c r="G29" i="15"/>
  <c r="F29" i="15"/>
  <c r="E29" i="15"/>
  <c r="I27" i="15"/>
  <c r="H27" i="15"/>
  <c r="G27" i="15"/>
  <c r="F27" i="15"/>
  <c r="E27" i="15"/>
  <c r="J26" i="15"/>
  <c r="I26" i="15"/>
  <c r="H26" i="15"/>
  <c r="G26" i="15"/>
  <c r="F26" i="15"/>
  <c r="K26" i="15" s="1"/>
  <c r="E26" i="15"/>
  <c r="C25" i="15"/>
  <c r="I24" i="15"/>
  <c r="H24" i="15"/>
  <c r="G24" i="15"/>
  <c r="G36" i="15" s="1"/>
  <c r="F24" i="15"/>
  <c r="E24" i="15"/>
  <c r="E36" i="15" s="1"/>
  <c r="J23" i="15"/>
  <c r="J35" i="15" s="1"/>
  <c r="I23" i="15"/>
  <c r="H23" i="15"/>
  <c r="G23" i="15"/>
  <c r="F23" i="15"/>
  <c r="F35" i="15" s="1"/>
  <c r="E23" i="15"/>
  <c r="D15" i="15"/>
  <c r="D14" i="15"/>
  <c r="J13" i="15"/>
  <c r="H13" i="15"/>
  <c r="C31" i="15" s="1"/>
  <c r="F13" i="15"/>
  <c r="D13" i="15"/>
  <c r="J12" i="15"/>
  <c r="H12" i="15"/>
  <c r="C28" i="15" s="1"/>
  <c r="F12" i="15"/>
  <c r="D12" i="15"/>
  <c r="C22" i="15" s="1"/>
  <c r="D8" i="15"/>
  <c r="D7" i="15"/>
  <c r="D6" i="15"/>
  <c r="D5" i="15"/>
  <c r="D4" i="15"/>
  <c r="D3" i="15"/>
  <c r="I33" i="14"/>
  <c r="H33" i="14"/>
  <c r="G33" i="14"/>
  <c r="F33" i="14"/>
  <c r="E33" i="14"/>
  <c r="K33" i="14" s="1"/>
  <c r="J32" i="14"/>
  <c r="I32" i="14"/>
  <c r="H32" i="14"/>
  <c r="G32" i="14"/>
  <c r="F32" i="14"/>
  <c r="E32" i="14"/>
  <c r="C31" i="14"/>
  <c r="I30" i="14"/>
  <c r="H30" i="14"/>
  <c r="G30" i="14"/>
  <c r="F30" i="14"/>
  <c r="E30" i="14"/>
  <c r="J29" i="14"/>
  <c r="I29" i="14"/>
  <c r="H29" i="14"/>
  <c r="G29" i="14"/>
  <c r="F29" i="14"/>
  <c r="K29" i="14" s="1"/>
  <c r="E29" i="14"/>
  <c r="I27" i="14"/>
  <c r="H27" i="14"/>
  <c r="G27" i="14"/>
  <c r="F27" i="14"/>
  <c r="E27" i="14"/>
  <c r="J26" i="14"/>
  <c r="I26" i="14"/>
  <c r="H26" i="14"/>
  <c r="G26" i="14"/>
  <c r="F26" i="14"/>
  <c r="E26" i="14"/>
  <c r="I24" i="14"/>
  <c r="H24" i="14"/>
  <c r="H36" i="14" s="1"/>
  <c r="G24" i="14"/>
  <c r="F24" i="14"/>
  <c r="E24" i="14"/>
  <c r="K24" i="14" s="1"/>
  <c r="J23" i="14"/>
  <c r="J35" i="14" s="1"/>
  <c r="I23" i="14"/>
  <c r="H23" i="14"/>
  <c r="G23" i="14"/>
  <c r="G35" i="14" s="1"/>
  <c r="F23" i="14"/>
  <c r="E23" i="14"/>
  <c r="E35" i="14" s="1"/>
  <c r="D15" i="14"/>
  <c r="D14" i="14"/>
  <c r="J13" i="14"/>
  <c r="H13" i="14"/>
  <c r="F13" i="14"/>
  <c r="D13" i="14"/>
  <c r="C25" i="14" s="1"/>
  <c r="J12" i="14"/>
  <c r="H12" i="14"/>
  <c r="C28" i="14" s="1"/>
  <c r="F12" i="14"/>
  <c r="D12" i="14"/>
  <c r="C22" i="14" s="1"/>
  <c r="D8" i="14"/>
  <c r="D7" i="14"/>
  <c r="D6" i="14"/>
  <c r="D5" i="14"/>
  <c r="D4" i="14"/>
  <c r="D3" i="14"/>
  <c r="I33" i="13"/>
  <c r="H33" i="13"/>
  <c r="G33" i="13"/>
  <c r="F33" i="13"/>
  <c r="E33" i="13"/>
  <c r="J32" i="13"/>
  <c r="I32" i="13"/>
  <c r="H32" i="13"/>
  <c r="G32" i="13"/>
  <c r="F32" i="13"/>
  <c r="E32" i="13"/>
  <c r="K32" i="13" s="1"/>
  <c r="I30" i="13"/>
  <c r="H30" i="13"/>
  <c r="G30" i="13"/>
  <c r="F30" i="13"/>
  <c r="E30" i="13"/>
  <c r="K30" i="13" s="1"/>
  <c r="J29" i="13"/>
  <c r="I29" i="13"/>
  <c r="H29" i="13"/>
  <c r="G29" i="13"/>
  <c r="F29" i="13"/>
  <c r="E29" i="13"/>
  <c r="K29" i="13" s="1"/>
  <c r="I27" i="13"/>
  <c r="H27" i="13"/>
  <c r="G27" i="13"/>
  <c r="F27" i="13"/>
  <c r="F36" i="13" s="1"/>
  <c r="E27" i="13"/>
  <c r="J26" i="13"/>
  <c r="I26" i="13"/>
  <c r="H26" i="13"/>
  <c r="H35" i="13" s="1"/>
  <c r="G26" i="13"/>
  <c r="F26" i="13"/>
  <c r="E26" i="13"/>
  <c r="K26" i="13" s="1"/>
  <c r="I24" i="13"/>
  <c r="I36" i="13" s="1"/>
  <c r="H24" i="13"/>
  <c r="G24" i="13"/>
  <c r="F24" i="13"/>
  <c r="E24" i="13"/>
  <c r="E36" i="13" s="1"/>
  <c r="J23" i="13"/>
  <c r="J35" i="13" s="1"/>
  <c r="I23" i="13"/>
  <c r="H23" i="13"/>
  <c r="G23" i="13"/>
  <c r="G35" i="13" s="1"/>
  <c r="F23" i="13"/>
  <c r="E23" i="13"/>
  <c r="C22" i="13"/>
  <c r="D15" i="13"/>
  <c r="D14" i="13"/>
  <c r="J13" i="13"/>
  <c r="H13" i="13"/>
  <c r="C31" i="13" s="1"/>
  <c r="F13" i="13"/>
  <c r="D13" i="13"/>
  <c r="C25" i="13" s="1"/>
  <c r="J12" i="13"/>
  <c r="H12" i="13"/>
  <c r="C28" i="13" s="1"/>
  <c r="F12" i="13"/>
  <c r="D12" i="13"/>
  <c r="D8" i="13"/>
  <c r="D7" i="13"/>
  <c r="D6" i="13"/>
  <c r="D5" i="13"/>
  <c r="D4" i="13"/>
  <c r="D3" i="13"/>
  <c r="F36" i="12"/>
  <c r="I35" i="12"/>
  <c r="I33" i="12"/>
  <c r="H33" i="12"/>
  <c r="G33" i="12"/>
  <c r="F33" i="12"/>
  <c r="E33" i="12"/>
  <c r="J32" i="12"/>
  <c r="I32" i="12"/>
  <c r="H32" i="12"/>
  <c r="G32" i="12"/>
  <c r="F32" i="12"/>
  <c r="E32" i="12"/>
  <c r="I30" i="12"/>
  <c r="H30" i="12"/>
  <c r="G30" i="12"/>
  <c r="F30" i="12"/>
  <c r="E30" i="12"/>
  <c r="J29" i="12"/>
  <c r="I29" i="12"/>
  <c r="H29" i="12"/>
  <c r="G29" i="12"/>
  <c r="F29" i="12"/>
  <c r="E29" i="12"/>
  <c r="I27" i="12"/>
  <c r="H27" i="12"/>
  <c r="G27" i="12"/>
  <c r="F27" i="12"/>
  <c r="E27" i="12"/>
  <c r="J26" i="12"/>
  <c r="I26" i="12"/>
  <c r="H26" i="12"/>
  <c r="G26" i="12"/>
  <c r="F26" i="12"/>
  <c r="E26" i="12"/>
  <c r="C25" i="12"/>
  <c r="I24" i="12"/>
  <c r="I36" i="12" s="1"/>
  <c r="H24" i="12"/>
  <c r="G24" i="12"/>
  <c r="F24" i="12"/>
  <c r="E24" i="12"/>
  <c r="J23" i="12"/>
  <c r="I23" i="12"/>
  <c r="H23" i="12"/>
  <c r="H35" i="12" s="1"/>
  <c r="G23" i="12"/>
  <c r="F23" i="12"/>
  <c r="E23" i="12"/>
  <c r="K23" i="12" s="1"/>
  <c r="C22" i="12"/>
  <c r="D15" i="12"/>
  <c r="D14" i="12"/>
  <c r="J13" i="12"/>
  <c r="H13" i="12"/>
  <c r="C31" i="12" s="1"/>
  <c r="F13" i="12"/>
  <c r="D13" i="12"/>
  <c r="J12" i="12"/>
  <c r="H12" i="12"/>
  <c r="C28" i="12" s="1"/>
  <c r="F12" i="12"/>
  <c r="D12" i="12"/>
  <c r="D8" i="12"/>
  <c r="D7" i="12"/>
  <c r="D6" i="12"/>
  <c r="D5" i="12"/>
  <c r="D4" i="12"/>
  <c r="D3" i="12"/>
  <c r="F35" i="11"/>
  <c r="I33" i="11"/>
  <c r="H33" i="11"/>
  <c r="G33" i="11"/>
  <c r="F33" i="11"/>
  <c r="E33" i="11"/>
  <c r="K33" i="11" s="1"/>
  <c r="K32" i="11"/>
  <c r="J32" i="11"/>
  <c r="I32" i="11"/>
  <c r="H32" i="11"/>
  <c r="G32" i="11"/>
  <c r="F32" i="11"/>
  <c r="E32" i="11"/>
  <c r="I30" i="11"/>
  <c r="H30" i="11"/>
  <c r="G30" i="11"/>
  <c r="F30" i="11"/>
  <c r="E30" i="11"/>
  <c r="J29" i="11"/>
  <c r="I29" i="11"/>
  <c r="H29" i="11"/>
  <c r="G29" i="11"/>
  <c r="F29" i="11"/>
  <c r="E29" i="11"/>
  <c r="I27" i="11"/>
  <c r="H27" i="11"/>
  <c r="G27" i="11"/>
  <c r="F27" i="11"/>
  <c r="E27" i="11"/>
  <c r="J26" i="11"/>
  <c r="I26" i="11"/>
  <c r="H26" i="11"/>
  <c r="G26" i="11"/>
  <c r="F26" i="11"/>
  <c r="E26" i="11"/>
  <c r="C25" i="11"/>
  <c r="I24" i="11"/>
  <c r="H24" i="11"/>
  <c r="G24" i="11"/>
  <c r="G36" i="11" s="1"/>
  <c r="F24" i="11"/>
  <c r="F36" i="11" s="1"/>
  <c r="E24" i="11"/>
  <c r="E36" i="11" s="1"/>
  <c r="J23" i="11"/>
  <c r="J35" i="11" s="1"/>
  <c r="I23" i="11"/>
  <c r="I35" i="11" s="1"/>
  <c r="H23" i="11"/>
  <c r="G23" i="11"/>
  <c r="F23" i="11"/>
  <c r="E23" i="11"/>
  <c r="C22" i="11"/>
  <c r="D15" i="11"/>
  <c r="D14" i="11"/>
  <c r="J13" i="11"/>
  <c r="H13" i="11"/>
  <c r="C31" i="11" s="1"/>
  <c r="F13" i="11"/>
  <c r="D13" i="11"/>
  <c r="J12" i="11"/>
  <c r="H12" i="11"/>
  <c r="C28" i="11" s="1"/>
  <c r="F12" i="11"/>
  <c r="D12" i="11"/>
  <c r="D8" i="11"/>
  <c r="D7" i="11"/>
  <c r="D6" i="11"/>
  <c r="D5" i="11"/>
  <c r="D4" i="11"/>
  <c r="D3" i="11"/>
  <c r="H36" i="10"/>
  <c r="I33" i="10"/>
  <c r="H33" i="10"/>
  <c r="G33" i="10"/>
  <c r="F33" i="10"/>
  <c r="E33" i="10"/>
  <c r="J32" i="10"/>
  <c r="I32" i="10"/>
  <c r="H32" i="10"/>
  <c r="G32" i="10"/>
  <c r="F32" i="10"/>
  <c r="E32" i="10"/>
  <c r="I30" i="10"/>
  <c r="H30" i="10"/>
  <c r="G30" i="10"/>
  <c r="F30" i="10"/>
  <c r="E30" i="10"/>
  <c r="J29" i="10"/>
  <c r="I29" i="10"/>
  <c r="H29" i="10"/>
  <c r="G29" i="10"/>
  <c r="F29" i="10"/>
  <c r="E29" i="10"/>
  <c r="I27" i="10"/>
  <c r="H27" i="10"/>
  <c r="G27" i="10"/>
  <c r="F27" i="10"/>
  <c r="E27" i="10"/>
  <c r="J26" i="10"/>
  <c r="I26" i="10"/>
  <c r="H26" i="10"/>
  <c r="G26" i="10"/>
  <c r="F26" i="10"/>
  <c r="E26" i="10"/>
  <c r="K26" i="10" s="1"/>
  <c r="C25" i="10"/>
  <c r="I24" i="10"/>
  <c r="H24" i="10"/>
  <c r="G24" i="10"/>
  <c r="G36" i="10" s="1"/>
  <c r="F24" i="10"/>
  <c r="E24" i="10"/>
  <c r="J23" i="10"/>
  <c r="I23" i="10"/>
  <c r="H23" i="10"/>
  <c r="G23" i="10"/>
  <c r="G35" i="10" s="1"/>
  <c r="F23" i="10"/>
  <c r="E23" i="10"/>
  <c r="D15" i="10"/>
  <c r="D14" i="10"/>
  <c r="J13" i="10"/>
  <c r="H13" i="10"/>
  <c r="C31" i="10" s="1"/>
  <c r="F13" i="10"/>
  <c r="D13" i="10"/>
  <c r="J12" i="10"/>
  <c r="H12" i="10"/>
  <c r="C28" i="10" s="1"/>
  <c r="F12" i="10"/>
  <c r="D12" i="10"/>
  <c r="C22" i="10" s="1"/>
  <c r="D8" i="10"/>
  <c r="D7" i="10"/>
  <c r="D6" i="10"/>
  <c r="D5" i="10"/>
  <c r="D4" i="10"/>
  <c r="D3" i="10"/>
  <c r="I33" i="9"/>
  <c r="H33" i="9"/>
  <c r="G33" i="9"/>
  <c r="F33" i="9"/>
  <c r="E33" i="9"/>
  <c r="J32" i="9"/>
  <c r="I32" i="9"/>
  <c r="H32" i="9"/>
  <c r="G32" i="9"/>
  <c r="F32" i="9"/>
  <c r="E32" i="9"/>
  <c r="I30" i="9"/>
  <c r="H30" i="9"/>
  <c r="G30" i="9"/>
  <c r="F30" i="9"/>
  <c r="E30" i="9"/>
  <c r="J29" i="9"/>
  <c r="I29" i="9"/>
  <c r="H29" i="9"/>
  <c r="G29" i="9"/>
  <c r="F29" i="9"/>
  <c r="E29" i="9"/>
  <c r="I27" i="9"/>
  <c r="H27" i="9"/>
  <c r="G27" i="9"/>
  <c r="F27" i="9"/>
  <c r="E27" i="9"/>
  <c r="K27" i="9" s="1"/>
  <c r="J26" i="9"/>
  <c r="I26" i="9"/>
  <c r="H26" i="9"/>
  <c r="G26" i="9"/>
  <c r="F26" i="9"/>
  <c r="E26" i="9"/>
  <c r="I24" i="9"/>
  <c r="I36" i="9" s="1"/>
  <c r="H24" i="9"/>
  <c r="H36" i="9" s="1"/>
  <c r="G24" i="9"/>
  <c r="F24" i="9"/>
  <c r="E24" i="9"/>
  <c r="K24" i="9" s="1"/>
  <c r="J23" i="9"/>
  <c r="I23" i="9"/>
  <c r="I35" i="9" s="1"/>
  <c r="H23" i="9"/>
  <c r="H35" i="9" s="1"/>
  <c r="G23" i="9"/>
  <c r="F23" i="9"/>
  <c r="F35" i="9" s="1"/>
  <c r="E23" i="9"/>
  <c r="D15" i="9"/>
  <c r="D14" i="9"/>
  <c r="J13" i="9"/>
  <c r="H13" i="9"/>
  <c r="C31" i="9" s="1"/>
  <c r="F13" i="9"/>
  <c r="D13" i="9"/>
  <c r="C25" i="9" s="1"/>
  <c r="J12" i="9"/>
  <c r="H12" i="9"/>
  <c r="C28" i="9" s="1"/>
  <c r="F12" i="9"/>
  <c r="D12" i="9"/>
  <c r="C22" i="9" s="1"/>
  <c r="D8" i="9"/>
  <c r="D7" i="9"/>
  <c r="D6" i="9"/>
  <c r="D5" i="9"/>
  <c r="D4" i="9"/>
  <c r="D3" i="9"/>
  <c r="I35" i="8"/>
  <c r="E35" i="8"/>
  <c r="I33" i="8"/>
  <c r="H33" i="8"/>
  <c r="G33" i="8"/>
  <c r="F33" i="8"/>
  <c r="E33" i="8"/>
  <c r="J32" i="8"/>
  <c r="I32" i="8"/>
  <c r="H32" i="8"/>
  <c r="G32" i="8"/>
  <c r="F32" i="8"/>
  <c r="E32" i="8"/>
  <c r="I30" i="8"/>
  <c r="H30" i="8"/>
  <c r="G30" i="8"/>
  <c r="F30" i="8"/>
  <c r="E30" i="8"/>
  <c r="J29" i="8"/>
  <c r="I29" i="8"/>
  <c r="H29" i="8"/>
  <c r="G29" i="8"/>
  <c r="F29" i="8"/>
  <c r="E29" i="8"/>
  <c r="I27" i="8"/>
  <c r="H27" i="8"/>
  <c r="G27" i="8"/>
  <c r="G36" i="8" s="1"/>
  <c r="F27" i="8"/>
  <c r="E27" i="8"/>
  <c r="J26" i="8"/>
  <c r="I26" i="8"/>
  <c r="H26" i="8"/>
  <c r="G26" i="8"/>
  <c r="F26" i="8"/>
  <c r="F35" i="8" s="1"/>
  <c r="E26" i="8"/>
  <c r="I24" i="8"/>
  <c r="H24" i="8"/>
  <c r="G24" i="8"/>
  <c r="F24" i="8"/>
  <c r="F36" i="8" s="1"/>
  <c r="E24" i="8"/>
  <c r="J23" i="8"/>
  <c r="I23" i="8"/>
  <c r="H23" i="8"/>
  <c r="G23" i="8"/>
  <c r="F23" i="8"/>
  <c r="E23" i="8"/>
  <c r="K23" i="8" s="1"/>
  <c r="C22" i="8"/>
  <c r="D15" i="8"/>
  <c r="D14" i="8"/>
  <c r="J13" i="8"/>
  <c r="H13" i="8"/>
  <c r="C31" i="8" s="1"/>
  <c r="F13" i="8"/>
  <c r="D13" i="8"/>
  <c r="C25" i="8" s="1"/>
  <c r="J12" i="8"/>
  <c r="H12" i="8"/>
  <c r="C28" i="8" s="1"/>
  <c r="F12" i="8"/>
  <c r="D12" i="8"/>
  <c r="D8" i="8"/>
  <c r="D7" i="8"/>
  <c r="D6" i="8"/>
  <c r="D5" i="8"/>
  <c r="D4" i="8"/>
  <c r="D3" i="8"/>
  <c r="I33" i="7"/>
  <c r="H33" i="7"/>
  <c r="G33" i="7"/>
  <c r="F33" i="7"/>
  <c r="E33" i="7"/>
  <c r="J32" i="7"/>
  <c r="I32" i="7"/>
  <c r="H32" i="7"/>
  <c r="G32" i="7"/>
  <c r="K32" i="7" s="1"/>
  <c r="F32" i="7"/>
  <c r="E32" i="7"/>
  <c r="C31" i="7"/>
  <c r="I30" i="7"/>
  <c r="H30" i="7"/>
  <c r="G30" i="7"/>
  <c r="G36" i="7" s="1"/>
  <c r="F30" i="7"/>
  <c r="E30" i="7"/>
  <c r="K30" i="7" s="1"/>
  <c r="J29" i="7"/>
  <c r="I29" i="7"/>
  <c r="H29" i="7"/>
  <c r="G29" i="7"/>
  <c r="F29" i="7"/>
  <c r="E29" i="7"/>
  <c r="I27" i="7"/>
  <c r="H27" i="7"/>
  <c r="G27" i="7"/>
  <c r="F27" i="7"/>
  <c r="E27" i="7"/>
  <c r="J26" i="7"/>
  <c r="J35" i="7" s="1"/>
  <c r="I26" i="7"/>
  <c r="H26" i="7"/>
  <c r="G26" i="7"/>
  <c r="G35" i="7" s="1"/>
  <c r="F26" i="7"/>
  <c r="E26" i="7"/>
  <c r="I24" i="7"/>
  <c r="I36" i="7" s="1"/>
  <c r="H24" i="7"/>
  <c r="G24" i="7"/>
  <c r="F24" i="7"/>
  <c r="E24" i="7"/>
  <c r="J23" i="7"/>
  <c r="I23" i="7"/>
  <c r="H23" i="7"/>
  <c r="G23" i="7"/>
  <c r="F23" i="7"/>
  <c r="F35" i="7" s="1"/>
  <c r="E23" i="7"/>
  <c r="D15" i="7"/>
  <c r="D14" i="7"/>
  <c r="J13" i="7"/>
  <c r="H13" i="7"/>
  <c r="F13" i="7"/>
  <c r="D13" i="7"/>
  <c r="C25" i="7" s="1"/>
  <c r="J12" i="7"/>
  <c r="H12" i="7"/>
  <c r="C28" i="7" s="1"/>
  <c r="F12" i="7"/>
  <c r="D12" i="7"/>
  <c r="C22" i="7" s="1"/>
  <c r="D8" i="7"/>
  <c r="D7" i="7"/>
  <c r="D6" i="7"/>
  <c r="D5" i="7"/>
  <c r="D4" i="7"/>
  <c r="D3" i="7"/>
  <c r="I33" i="6"/>
  <c r="H33" i="6"/>
  <c r="G33" i="6"/>
  <c r="F33" i="6"/>
  <c r="E33" i="6"/>
  <c r="J32" i="6"/>
  <c r="I32" i="6"/>
  <c r="H32" i="6"/>
  <c r="G32" i="6"/>
  <c r="F32" i="6"/>
  <c r="E32" i="6"/>
  <c r="I30" i="6"/>
  <c r="H30" i="6"/>
  <c r="G30" i="6"/>
  <c r="F30" i="6"/>
  <c r="E30" i="6"/>
  <c r="J29" i="6"/>
  <c r="I29" i="6"/>
  <c r="H29" i="6"/>
  <c r="G29" i="6"/>
  <c r="F29" i="6"/>
  <c r="E29" i="6"/>
  <c r="I27" i="6"/>
  <c r="H27" i="6"/>
  <c r="H36" i="6" s="1"/>
  <c r="G27" i="6"/>
  <c r="F27" i="6"/>
  <c r="E27" i="6"/>
  <c r="K27" i="6" s="1"/>
  <c r="J26" i="6"/>
  <c r="I26" i="6"/>
  <c r="H26" i="6"/>
  <c r="H35" i="6" s="1"/>
  <c r="G26" i="6"/>
  <c r="F26" i="6"/>
  <c r="E26" i="6"/>
  <c r="I24" i="6"/>
  <c r="H24" i="6"/>
  <c r="G24" i="6"/>
  <c r="F24" i="6"/>
  <c r="E24" i="6"/>
  <c r="J23" i="6"/>
  <c r="J35" i="6" s="1"/>
  <c r="I23" i="6"/>
  <c r="H23" i="6"/>
  <c r="G23" i="6"/>
  <c r="G35" i="6" s="1"/>
  <c r="F23" i="6"/>
  <c r="E23" i="6"/>
  <c r="D15" i="6"/>
  <c r="D14" i="6"/>
  <c r="J13" i="6"/>
  <c r="H13" i="6"/>
  <c r="C31" i="6" s="1"/>
  <c r="F13" i="6"/>
  <c r="D13" i="6"/>
  <c r="C25" i="6" s="1"/>
  <c r="J12" i="6"/>
  <c r="H12" i="6"/>
  <c r="C28" i="6" s="1"/>
  <c r="F12" i="6"/>
  <c r="D12" i="6"/>
  <c r="C22" i="6" s="1"/>
  <c r="D8" i="6"/>
  <c r="D7" i="6"/>
  <c r="D6" i="6"/>
  <c r="D5" i="6"/>
  <c r="D4" i="6"/>
  <c r="D3" i="6"/>
  <c r="E36" i="5"/>
  <c r="H35" i="5"/>
  <c r="I33" i="5"/>
  <c r="H33" i="5"/>
  <c r="K33" i="5" s="1"/>
  <c r="G33" i="5"/>
  <c r="F33" i="5"/>
  <c r="E33" i="5"/>
  <c r="J32" i="5"/>
  <c r="I32" i="5"/>
  <c r="H32" i="5"/>
  <c r="G32" i="5"/>
  <c r="F32" i="5"/>
  <c r="E32" i="5"/>
  <c r="K32" i="5" s="1"/>
  <c r="C31" i="5"/>
  <c r="I30" i="5"/>
  <c r="H30" i="5"/>
  <c r="G30" i="5"/>
  <c r="F30" i="5"/>
  <c r="E30" i="5"/>
  <c r="J29" i="5"/>
  <c r="I29" i="5"/>
  <c r="H29" i="5"/>
  <c r="G29" i="5"/>
  <c r="F29" i="5"/>
  <c r="E29" i="5"/>
  <c r="I27" i="5"/>
  <c r="H27" i="5"/>
  <c r="G27" i="5"/>
  <c r="F27" i="5"/>
  <c r="E27" i="5"/>
  <c r="J26" i="5"/>
  <c r="I26" i="5"/>
  <c r="H26" i="5"/>
  <c r="G26" i="5"/>
  <c r="F26" i="5"/>
  <c r="E26" i="5"/>
  <c r="K26" i="5" s="1"/>
  <c r="I24" i="5"/>
  <c r="I36" i="5" s="1"/>
  <c r="H24" i="5"/>
  <c r="G24" i="5"/>
  <c r="F24" i="5"/>
  <c r="F36" i="5" s="1"/>
  <c r="E24" i="5"/>
  <c r="J23" i="5"/>
  <c r="I23" i="5"/>
  <c r="H23" i="5"/>
  <c r="G23" i="5"/>
  <c r="F23" i="5"/>
  <c r="E23" i="5"/>
  <c r="K23" i="5" s="1"/>
  <c r="C22" i="5"/>
  <c r="D15" i="5"/>
  <c r="D14" i="5"/>
  <c r="J13" i="5"/>
  <c r="H13" i="5"/>
  <c r="F13" i="5"/>
  <c r="D13" i="5"/>
  <c r="C25" i="5" s="1"/>
  <c r="J12" i="5"/>
  <c r="H12" i="5"/>
  <c r="C28" i="5" s="1"/>
  <c r="F12" i="5"/>
  <c r="D12" i="5"/>
  <c r="D8" i="5"/>
  <c r="D7" i="5"/>
  <c r="D6" i="5"/>
  <c r="D5" i="5"/>
  <c r="D4" i="5"/>
  <c r="D3" i="5"/>
  <c r="E35" i="4"/>
  <c r="I33" i="4"/>
  <c r="H33" i="4"/>
  <c r="G33" i="4"/>
  <c r="F33" i="4"/>
  <c r="E33" i="4"/>
  <c r="J32" i="4"/>
  <c r="I32" i="4"/>
  <c r="H32" i="4"/>
  <c r="G32" i="4"/>
  <c r="F32" i="4"/>
  <c r="E32" i="4"/>
  <c r="I30" i="4"/>
  <c r="H30" i="4"/>
  <c r="G30" i="4"/>
  <c r="F30" i="4"/>
  <c r="E30" i="4"/>
  <c r="K30" i="4" s="1"/>
  <c r="J29" i="4"/>
  <c r="I29" i="4"/>
  <c r="H29" i="4"/>
  <c r="G29" i="4"/>
  <c r="F29" i="4"/>
  <c r="E29" i="4"/>
  <c r="I27" i="4"/>
  <c r="H27" i="4"/>
  <c r="G27" i="4"/>
  <c r="F27" i="4"/>
  <c r="E27" i="4"/>
  <c r="J26" i="4"/>
  <c r="I26" i="4"/>
  <c r="H26" i="4"/>
  <c r="G26" i="4"/>
  <c r="F26" i="4"/>
  <c r="E26" i="4"/>
  <c r="I24" i="4"/>
  <c r="H24" i="4"/>
  <c r="G24" i="4"/>
  <c r="F24" i="4"/>
  <c r="F36" i="4" s="1"/>
  <c r="E24" i="4"/>
  <c r="J23" i="4"/>
  <c r="I23" i="4"/>
  <c r="I35" i="4" s="1"/>
  <c r="H23" i="4"/>
  <c r="G23" i="4"/>
  <c r="F23" i="4"/>
  <c r="E23" i="4"/>
  <c r="D15" i="4"/>
  <c r="D14" i="4"/>
  <c r="J13" i="4"/>
  <c r="H13" i="4"/>
  <c r="C31" i="4" s="1"/>
  <c r="F13" i="4"/>
  <c r="D13" i="4"/>
  <c r="C25" i="4" s="1"/>
  <c r="J12" i="4"/>
  <c r="H12" i="4"/>
  <c r="C28" i="4" s="1"/>
  <c r="F12" i="4"/>
  <c r="D12" i="4"/>
  <c r="C22" i="4" s="1"/>
  <c r="D8" i="4"/>
  <c r="D7" i="4"/>
  <c r="D6" i="4"/>
  <c r="D5" i="4"/>
  <c r="D4" i="4"/>
  <c r="D3" i="4"/>
  <c r="J35" i="3"/>
  <c r="F35" i="3"/>
  <c r="I33" i="3"/>
  <c r="H33" i="3"/>
  <c r="G33" i="3"/>
  <c r="G36" i="3" s="1"/>
  <c r="F33" i="3"/>
  <c r="E33" i="3"/>
  <c r="J32" i="3"/>
  <c r="I32" i="3"/>
  <c r="H32" i="3"/>
  <c r="G32" i="3"/>
  <c r="F32" i="3"/>
  <c r="E32" i="3"/>
  <c r="I30" i="3"/>
  <c r="H30" i="3"/>
  <c r="G30" i="3"/>
  <c r="F30" i="3"/>
  <c r="E30" i="3"/>
  <c r="J29" i="3"/>
  <c r="I29" i="3"/>
  <c r="H29" i="3"/>
  <c r="G29" i="3"/>
  <c r="F29" i="3"/>
  <c r="E29" i="3"/>
  <c r="K29" i="3" s="1"/>
  <c r="I27" i="3"/>
  <c r="H27" i="3"/>
  <c r="G27" i="3"/>
  <c r="F27" i="3"/>
  <c r="E27" i="3"/>
  <c r="J26" i="3"/>
  <c r="I26" i="3"/>
  <c r="H26" i="3"/>
  <c r="G26" i="3"/>
  <c r="F26" i="3"/>
  <c r="E26" i="3"/>
  <c r="K26" i="3" s="1"/>
  <c r="C25" i="3"/>
  <c r="I24" i="3"/>
  <c r="I36" i="3" s="1"/>
  <c r="H24" i="3"/>
  <c r="G24" i="3"/>
  <c r="F24" i="3"/>
  <c r="F36" i="3" s="1"/>
  <c r="E24" i="3"/>
  <c r="J23" i="3"/>
  <c r="I23" i="3"/>
  <c r="H23" i="3"/>
  <c r="G23" i="3"/>
  <c r="F23" i="3"/>
  <c r="E23" i="3"/>
  <c r="D15" i="3"/>
  <c r="D14" i="3"/>
  <c r="J13" i="3"/>
  <c r="H13" i="3"/>
  <c r="C31" i="3" s="1"/>
  <c r="F13" i="3"/>
  <c r="D13" i="3"/>
  <c r="J12" i="3"/>
  <c r="H12" i="3"/>
  <c r="C28" i="3" s="1"/>
  <c r="F12" i="3"/>
  <c r="D12" i="3"/>
  <c r="C22" i="3" s="1"/>
  <c r="D8" i="3"/>
  <c r="D7" i="3"/>
  <c r="D6" i="3"/>
  <c r="D5" i="3"/>
  <c r="D4" i="3"/>
  <c r="D3" i="3"/>
  <c r="AG23" i="1"/>
  <c r="AF23" i="1"/>
  <c r="AG22" i="1"/>
  <c r="AF22" i="1"/>
  <c r="AG21" i="1"/>
  <c r="AF21" i="1"/>
  <c r="AG20" i="1"/>
  <c r="AF20" i="1"/>
  <c r="AG19" i="1"/>
  <c r="AF19" i="1"/>
  <c r="AG18" i="1"/>
  <c r="AF18" i="1"/>
  <c r="AG17" i="1"/>
  <c r="AF17" i="1"/>
  <c r="AG16" i="1"/>
  <c r="AF16" i="1"/>
  <c r="AG15" i="1"/>
  <c r="AF15" i="1"/>
  <c r="AG14" i="1"/>
  <c r="AF14" i="1"/>
  <c r="AG13" i="1"/>
  <c r="AF13" i="1"/>
  <c r="AG12" i="1"/>
  <c r="AF12" i="1"/>
  <c r="AG11" i="1"/>
  <c r="AF11" i="1"/>
  <c r="AG10" i="1"/>
  <c r="AF10" i="1"/>
  <c r="AG9" i="1"/>
  <c r="AF9" i="1"/>
  <c r="AG8" i="1"/>
  <c r="AF8" i="1"/>
  <c r="AG7" i="1"/>
  <c r="AF7" i="1"/>
  <c r="AG6" i="1"/>
  <c r="AF6" i="1"/>
  <c r="AG5" i="1"/>
  <c r="AF5" i="1"/>
  <c r="AG4" i="1"/>
  <c r="AF4" i="1"/>
  <c r="AG3" i="1"/>
  <c r="AF3" i="1"/>
  <c r="AG2" i="1"/>
  <c r="AF2" i="1"/>
  <c r="G35" i="21" l="1"/>
  <c r="J35" i="9"/>
  <c r="E35" i="10"/>
  <c r="K29" i="10"/>
  <c r="K30" i="11"/>
  <c r="K32" i="12"/>
  <c r="K33" i="13"/>
  <c r="F35" i="14"/>
  <c r="K35" i="14" s="1"/>
  <c r="H36" i="15"/>
  <c r="H35" i="16"/>
  <c r="E36" i="18"/>
  <c r="F36" i="18"/>
  <c r="K30" i="18"/>
  <c r="G35" i="19"/>
  <c r="G36" i="20"/>
  <c r="H35" i="21"/>
  <c r="K23" i="24"/>
  <c r="K29" i="24"/>
  <c r="K33" i="4"/>
  <c r="K33" i="9"/>
  <c r="F35" i="10"/>
  <c r="I36" i="15"/>
  <c r="J35" i="16"/>
  <c r="H35" i="19"/>
  <c r="I35" i="21"/>
  <c r="H36" i="22"/>
  <c r="F36" i="22"/>
  <c r="F36" i="23"/>
  <c r="K30" i="23"/>
  <c r="J35" i="4"/>
  <c r="E36" i="6"/>
  <c r="F36" i="6"/>
  <c r="H35" i="7"/>
  <c r="G35" i="5"/>
  <c r="G36" i="6"/>
  <c r="I35" i="7"/>
  <c r="I36" i="8"/>
  <c r="K29" i="8"/>
  <c r="K32" i="8"/>
  <c r="F36" i="9"/>
  <c r="K32" i="10"/>
  <c r="K27" i="11"/>
  <c r="F35" i="12"/>
  <c r="K26" i="12"/>
  <c r="G36" i="13"/>
  <c r="K36" i="13" s="1"/>
  <c r="H35" i="14"/>
  <c r="K33" i="16"/>
  <c r="F35" i="17"/>
  <c r="K29" i="17"/>
  <c r="G36" i="18"/>
  <c r="I36" i="20"/>
  <c r="I36" i="22"/>
  <c r="H35" i="24"/>
  <c r="H36" i="8"/>
  <c r="E36" i="4"/>
  <c r="K27" i="4"/>
  <c r="I36" i="6"/>
  <c r="E36" i="7"/>
  <c r="K36" i="7" s="1"/>
  <c r="K26" i="8"/>
  <c r="G36" i="9"/>
  <c r="K30" i="9"/>
  <c r="H35" i="10"/>
  <c r="I36" i="11"/>
  <c r="H36" i="11"/>
  <c r="G35" i="12"/>
  <c r="K29" i="12"/>
  <c r="H36" i="13"/>
  <c r="I35" i="14"/>
  <c r="E35" i="15"/>
  <c r="K35" i="15" s="1"/>
  <c r="K29" i="15"/>
  <c r="K24" i="16"/>
  <c r="G35" i="17"/>
  <c r="I36" i="18"/>
  <c r="K29" i="20"/>
  <c r="K32" i="20"/>
  <c r="E36" i="21"/>
  <c r="K36" i="21" s="1"/>
  <c r="K27" i="21"/>
  <c r="K32" i="22"/>
  <c r="H36" i="23"/>
  <c r="I35" i="24"/>
  <c r="J35" i="24"/>
  <c r="K23" i="4"/>
  <c r="I35" i="10"/>
  <c r="K24" i="11"/>
  <c r="K32" i="15"/>
  <c r="K27" i="16"/>
  <c r="E36" i="19"/>
  <c r="F35" i="22"/>
  <c r="K35" i="22" s="1"/>
  <c r="H35" i="3"/>
  <c r="K32" i="4"/>
  <c r="J35" i="5"/>
  <c r="K30" i="10"/>
  <c r="K29" i="11"/>
  <c r="E36" i="14"/>
  <c r="G35" i="15"/>
  <c r="G36" i="16"/>
  <c r="H36" i="16"/>
  <c r="I35" i="17"/>
  <c r="K26" i="18"/>
  <c r="F36" i="19"/>
  <c r="E36" i="24"/>
  <c r="F35" i="5"/>
  <c r="K32" i="6"/>
  <c r="H36" i="4"/>
  <c r="K30" i="14"/>
  <c r="E35" i="18"/>
  <c r="E35" i="20"/>
  <c r="H36" i="21"/>
  <c r="G35" i="22"/>
  <c r="J35" i="22"/>
  <c r="K26" i="23"/>
  <c r="K32" i="23"/>
  <c r="E36" i="23"/>
  <c r="K30" i="6"/>
  <c r="E35" i="3"/>
  <c r="K35" i="3" s="1"/>
  <c r="K29" i="5"/>
  <c r="K32" i="3"/>
  <c r="G35" i="3"/>
  <c r="G36" i="4"/>
  <c r="I35" i="5"/>
  <c r="K29" i="6"/>
  <c r="I35" i="3"/>
  <c r="K30" i="5"/>
  <c r="K26" i="6"/>
  <c r="F36" i="7"/>
  <c r="K33" i="7"/>
  <c r="J35" i="10"/>
  <c r="K33" i="10"/>
  <c r="K23" i="11"/>
  <c r="K33" i="3"/>
  <c r="I36" i="4"/>
  <c r="K29" i="4"/>
  <c r="E35" i="6"/>
  <c r="H36" i="7"/>
  <c r="G35" i="8"/>
  <c r="K35" i="8" s="1"/>
  <c r="K32" i="9"/>
  <c r="E36" i="9"/>
  <c r="K36" i="9" s="1"/>
  <c r="E36" i="10"/>
  <c r="K36" i="10" s="1"/>
  <c r="J35" i="12"/>
  <c r="K30" i="12"/>
  <c r="E35" i="13"/>
  <c r="K35" i="13" s="1"/>
  <c r="F36" i="14"/>
  <c r="H35" i="15"/>
  <c r="K32" i="16"/>
  <c r="J35" i="17"/>
  <c r="K30" i="17"/>
  <c r="E36" i="3"/>
  <c r="K24" i="5"/>
  <c r="K27" i="5"/>
  <c r="F35" i="6"/>
  <c r="K35" i="6" s="1"/>
  <c r="H35" i="8"/>
  <c r="K33" i="8"/>
  <c r="K26" i="9"/>
  <c r="F36" i="10"/>
  <c r="G35" i="11"/>
  <c r="E36" i="12"/>
  <c r="K27" i="12"/>
  <c r="K33" i="12"/>
  <c r="F35" i="13"/>
  <c r="G36" i="14"/>
  <c r="I35" i="15"/>
  <c r="I36" i="16"/>
  <c r="K29" i="16"/>
  <c r="F35" i="18"/>
  <c r="K35" i="18" s="1"/>
  <c r="H36" i="19"/>
  <c r="K33" i="19"/>
  <c r="F35" i="20"/>
  <c r="H35" i="20"/>
  <c r="I36" i="21"/>
  <c r="H35" i="22"/>
  <c r="K33" i="22"/>
  <c r="G36" i="24"/>
  <c r="J35" i="23"/>
  <c r="F35" i="4"/>
  <c r="K35" i="4" s="1"/>
  <c r="K29" i="7"/>
  <c r="K30" i="8"/>
  <c r="K26" i="11"/>
  <c r="K33" i="15"/>
  <c r="K24" i="17"/>
  <c r="K27" i="17"/>
  <c r="H35" i="18"/>
  <c r="K24" i="21"/>
  <c r="K29" i="21"/>
  <c r="K30" i="22"/>
  <c r="K27" i="3"/>
  <c r="G35" i="4"/>
  <c r="G36" i="5"/>
  <c r="K36" i="5" s="1"/>
  <c r="J35" i="8"/>
  <c r="K23" i="9"/>
  <c r="K29" i="9"/>
  <c r="H35" i="11"/>
  <c r="G36" i="12"/>
  <c r="I35" i="13"/>
  <c r="I36" i="14"/>
  <c r="F35" i="16"/>
  <c r="K35" i="16" s="1"/>
  <c r="F36" i="17"/>
  <c r="K36" i="17" s="1"/>
  <c r="G36" i="17"/>
  <c r="K29" i="19"/>
  <c r="K33" i="20"/>
  <c r="K30" i="3"/>
  <c r="H36" i="3"/>
  <c r="H35" i="4"/>
  <c r="H36" i="5"/>
  <c r="I35" i="6"/>
  <c r="K33" i="6"/>
  <c r="E35" i="7"/>
  <c r="K35" i="7" s="1"/>
  <c r="E36" i="8"/>
  <c r="K36" i="8" s="1"/>
  <c r="I36" i="10"/>
  <c r="H36" i="12"/>
  <c r="K36" i="12" s="1"/>
  <c r="E35" i="12"/>
  <c r="K35" i="12" s="1"/>
  <c r="K32" i="14"/>
  <c r="K24" i="15"/>
  <c r="K27" i="15"/>
  <c r="K30" i="15"/>
  <c r="I35" i="18"/>
  <c r="K33" i="18"/>
  <c r="E35" i="19"/>
  <c r="E36" i="20"/>
  <c r="K27" i="20"/>
  <c r="F35" i="21"/>
  <c r="K35" i="21" s="1"/>
  <c r="K27" i="22"/>
  <c r="I35" i="23"/>
  <c r="K32" i="24"/>
  <c r="K36" i="11"/>
  <c r="K35" i="20"/>
  <c r="K36" i="23"/>
  <c r="K36" i="3"/>
  <c r="K35" i="19"/>
  <c r="K36" i="20"/>
  <c r="K24" i="3"/>
  <c r="K24" i="4"/>
  <c r="K24" i="6"/>
  <c r="G35" i="9"/>
  <c r="E35" i="11"/>
  <c r="K35" i="11" s="1"/>
  <c r="F36" i="15"/>
  <c r="E36" i="16"/>
  <c r="K24" i="18"/>
  <c r="K24" i="20"/>
  <c r="J35" i="20"/>
  <c r="F35" i="24"/>
  <c r="K24" i="8"/>
  <c r="K23" i="14"/>
  <c r="K24" i="7"/>
  <c r="K23" i="13"/>
  <c r="K23" i="3"/>
  <c r="K27" i="7"/>
  <c r="K23" i="15"/>
  <c r="K27" i="19"/>
  <c r="K27" i="8"/>
  <c r="K24" i="10"/>
  <c r="K26" i="14"/>
  <c r="K23" i="16"/>
  <c r="E36" i="22"/>
  <c r="K36" i="22" s="1"/>
  <c r="K24" i="24"/>
  <c r="K26" i="4"/>
  <c r="E35" i="5"/>
  <c r="K35" i="5" s="1"/>
  <c r="K26" i="16"/>
  <c r="E35" i="17"/>
  <c r="K35" i="17" s="1"/>
  <c r="K23" i="18"/>
  <c r="K27" i="24"/>
  <c r="K27" i="10"/>
  <c r="K23" i="21"/>
  <c r="K23" i="6"/>
  <c r="K24" i="12"/>
  <c r="K23" i="7"/>
  <c r="K24" i="13"/>
  <c r="K23" i="19"/>
  <c r="K23" i="22"/>
  <c r="K26" i="7"/>
  <c r="K27" i="13"/>
  <c r="K26" i="19"/>
  <c r="K26" i="21"/>
  <c r="K23" i="23"/>
  <c r="E35" i="9"/>
  <c r="K23" i="10"/>
  <c r="K27" i="14"/>
  <c r="K26" i="22"/>
  <c r="E35" i="23"/>
  <c r="K36" i="4" l="1"/>
  <c r="K36" i="6"/>
  <c r="K36" i="24"/>
  <c r="K35" i="23"/>
  <c r="K35" i="24"/>
  <c r="K36" i="19"/>
  <c r="K35" i="9"/>
  <c r="K35" i="10"/>
  <c r="K36" i="16"/>
  <c r="K36" i="15"/>
  <c r="K36" i="14"/>
  <c r="K36" i="18"/>
</calcChain>
</file>

<file path=xl/sharedStrings.xml><?xml version="1.0" encoding="utf-8"?>
<sst xmlns="http://schemas.openxmlformats.org/spreadsheetml/2006/main" count="1219" uniqueCount="269">
  <si>
    <t>№</t>
    <phoneticPr fontId="6"/>
  </si>
  <si>
    <t>登録番号</t>
    <rPh sb="0" eb="2">
      <t>トウロク</t>
    </rPh>
    <rPh sb="2" eb="4">
      <t>バンゴウ</t>
    </rPh>
    <phoneticPr fontId="5"/>
  </si>
  <si>
    <t>登録年月日</t>
    <rPh sb="0" eb="2">
      <t>トウロク</t>
    </rPh>
    <rPh sb="2" eb="5">
      <t>ネンガッピ</t>
    </rPh>
    <phoneticPr fontId="5"/>
  </si>
  <si>
    <t>更新登録年月日</t>
    <rPh sb="0" eb="2">
      <t>コウシン</t>
    </rPh>
    <rPh sb="2" eb="4">
      <t>トウロク</t>
    </rPh>
    <rPh sb="4" eb="7">
      <t>ネンガッピ</t>
    </rPh>
    <phoneticPr fontId="5"/>
  </si>
  <si>
    <t>有効期間</t>
    <rPh sb="0" eb="2">
      <t>ユウコウ</t>
    </rPh>
    <rPh sb="2" eb="4">
      <t>キカン</t>
    </rPh>
    <phoneticPr fontId="5"/>
  </si>
  <si>
    <t>名称</t>
    <rPh sb="0" eb="2">
      <t>メイショウ</t>
    </rPh>
    <phoneticPr fontId="6"/>
  </si>
  <si>
    <t>代表者の氏名</t>
    <rPh sb="0" eb="3">
      <t>ダイヒョウシャ</t>
    </rPh>
    <rPh sb="4" eb="6">
      <t>シメイ</t>
    </rPh>
    <phoneticPr fontId="5"/>
  </si>
  <si>
    <t>郵便番号</t>
    <phoneticPr fontId="5"/>
  </si>
  <si>
    <t>住所</t>
    <rPh sb="0" eb="2">
      <t>ジュウショ</t>
    </rPh>
    <phoneticPr fontId="6"/>
  </si>
  <si>
    <t>事務所の名称</t>
    <rPh sb="0" eb="3">
      <t>ジムショ</t>
    </rPh>
    <rPh sb="4" eb="6">
      <t>メイショウ</t>
    </rPh>
    <phoneticPr fontId="5"/>
  </si>
  <si>
    <t>事務所の位置</t>
    <rPh sb="0" eb="3">
      <t>ジムショ</t>
    </rPh>
    <rPh sb="4" eb="6">
      <t>イチ</t>
    </rPh>
    <phoneticPr fontId="5"/>
  </si>
  <si>
    <t>事務所の名称</t>
    <phoneticPr fontId="6"/>
  </si>
  <si>
    <t>事務所の位置</t>
    <phoneticPr fontId="6"/>
  </si>
  <si>
    <t>路線又は運送の区域</t>
    <rPh sb="0" eb="2">
      <t>ロセン</t>
    </rPh>
    <rPh sb="2" eb="3">
      <t>マタ</t>
    </rPh>
    <rPh sb="4" eb="6">
      <t>ウンソウ</t>
    </rPh>
    <rPh sb="7" eb="9">
      <t>クイキ</t>
    </rPh>
    <phoneticPr fontId="5"/>
  </si>
  <si>
    <t>運送する旅客の範囲</t>
    <rPh sb="0" eb="2">
      <t>ウンソウ</t>
    </rPh>
    <rPh sb="4" eb="6">
      <t>リョカク</t>
    </rPh>
    <rPh sb="7" eb="9">
      <t>ハンイ</t>
    </rPh>
    <phoneticPr fontId="5"/>
  </si>
  <si>
    <t>事業者協力型有償運送の事業者名称</t>
    <rPh sb="0" eb="3">
      <t>ジギョウシャ</t>
    </rPh>
    <rPh sb="3" eb="6">
      <t>キョウリョクガタ</t>
    </rPh>
    <rPh sb="6" eb="8">
      <t>ユウショウ</t>
    </rPh>
    <rPh sb="8" eb="10">
      <t>ウンソウ</t>
    </rPh>
    <rPh sb="11" eb="14">
      <t>ジギョウシャ</t>
    </rPh>
    <rPh sb="14" eb="16">
      <t>メイショウ</t>
    </rPh>
    <phoneticPr fontId="5"/>
  </si>
  <si>
    <t>事業者協力型有償運送の事業者住所</t>
    <rPh sb="14" eb="16">
      <t>ジュウショ</t>
    </rPh>
    <phoneticPr fontId="5"/>
  </si>
  <si>
    <t>寝台車
(軽自動車)　　　　　　　　</t>
    <rPh sb="0" eb="1">
      <t>ネ</t>
    </rPh>
    <rPh sb="1" eb="2">
      <t>ダイ</t>
    </rPh>
    <rPh sb="2" eb="3">
      <t>クルマ</t>
    </rPh>
    <phoneticPr fontId="9"/>
  </si>
  <si>
    <t>車いす車
(軽自動車)</t>
    <rPh sb="0" eb="1">
      <t>クルマ</t>
    </rPh>
    <rPh sb="3" eb="4">
      <t>シャ</t>
    </rPh>
    <rPh sb="6" eb="10">
      <t>ケイジドウシャ</t>
    </rPh>
    <phoneticPr fontId="9"/>
  </si>
  <si>
    <t>兼用車
(軽自動車)</t>
    <rPh sb="0" eb="2">
      <t>ケンヨウ</t>
    </rPh>
    <rPh sb="2" eb="3">
      <t>シャ</t>
    </rPh>
    <phoneticPr fontId="9"/>
  </si>
  <si>
    <t>回転ｼｰﾄ車
(軽自動車)</t>
    <rPh sb="0" eb="2">
      <t>カイテン</t>
    </rPh>
    <rPh sb="5" eb="6">
      <t>シャ</t>
    </rPh>
    <phoneticPr fontId="9"/>
  </si>
  <si>
    <t>セダン等
(軽自動車)</t>
    <rPh sb="3" eb="4">
      <t>トウ</t>
    </rPh>
    <phoneticPr fontId="9"/>
  </si>
  <si>
    <t>バス</t>
    <phoneticPr fontId="9"/>
  </si>
  <si>
    <t>計</t>
    <rPh sb="0" eb="1">
      <t>ケイ</t>
    </rPh>
    <phoneticPr fontId="9"/>
  </si>
  <si>
    <t>北函市福第１号</t>
    <phoneticPr fontId="9"/>
  </si>
  <si>
    <t>江差町</t>
    <rPh sb="0" eb="3">
      <t>エサシチョウ</t>
    </rPh>
    <phoneticPr fontId="9"/>
  </si>
  <si>
    <t>照井　誉之介</t>
  </si>
  <si>
    <t>〒043-8560</t>
    <phoneticPr fontId="6"/>
  </si>
  <si>
    <t>檜山郡江差町字中歌町１９３番地１</t>
  </si>
  <si>
    <t>江差町</t>
  </si>
  <si>
    <t>檜山郡江差町</t>
  </si>
  <si>
    <t>イ　　二ホ　ト</t>
    <rPh sb="3" eb="4">
      <t>ニ</t>
    </rPh>
    <phoneticPr fontId="6"/>
  </si>
  <si>
    <t>北函市福第２号</t>
    <phoneticPr fontId="9"/>
  </si>
  <si>
    <t>厚沢部町</t>
    <rPh sb="0" eb="4">
      <t>アッサブチョウ</t>
    </rPh>
    <phoneticPr fontId="9"/>
  </si>
  <si>
    <t>佐藤　正秀</t>
    <rPh sb="0" eb="2">
      <t>サトウ</t>
    </rPh>
    <rPh sb="3" eb="5">
      <t>マサヒデ</t>
    </rPh>
    <phoneticPr fontId="6"/>
  </si>
  <si>
    <t>〒043-1113</t>
    <phoneticPr fontId="6"/>
  </si>
  <si>
    <t>檜山郡厚沢部町新町２０７番地</t>
  </si>
  <si>
    <t>厚沢部町</t>
  </si>
  <si>
    <t>檜山郡厚沢部町</t>
  </si>
  <si>
    <t>厚沢部町に在宅で生活している高齢者で一般車両での乗降等が困難な者、公共交通機関の不足等により移動が制約される者であり、且つサービス調整会議で承認された者。</t>
  </si>
  <si>
    <t>北函福第１号</t>
    <phoneticPr fontId="9"/>
  </si>
  <si>
    <t>社会福祉法人　奥尻町社会福祉協議会</t>
    <rPh sb="0" eb="2">
      <t>シャカイ</t>
    </rPh>
    <rPh sb="2" eb="4">
      <t>フクシ</t>
    </rPh>
    <rPh sb="4" eb="6">
      <t>ホウジン</t>
    </rPh>
    <rPh sb="7" eb="9">
      <t>オクシリ</t>
    </rPh>
    <rPh sb="9" eb="10">
      <t>チョウ</t>
    </rPh>
    <rPh sb="10" eb="12">
      <t>シャカイ</t>
    </rPh>
    <rPh sb="12" eb="14">
      <t>フクシ</t>
    </rPh>
    <rPh sb="14" eb="17">
      <t>キョウギカイ</t>
    </rPh>
    <phoneticPr fontId="9"/>
  </si>
  <si>
    <t>小林　賢三</t>
    <rPh sb="0" eb="2">
      <t>コバヤシ</t>
    </rPh>
    <rPh sb="3" eb="5">
      <t>ケンゾウ</t>
    </rPh>
    <phoneticPr fontId="6"/>
  </si>
  <si>
    <t>〒043-1401</t>
    <phoneticPr fontId="6"/>
  </si>
  <si>
    <t>奥尻郡奥尻町字奥尻４６２番地</t>
  </si>
  <si>
    <t>社会福祉法人奥尻町社会福祉協議会</t>
  </si>
  <si>
    <t>奥尻郡奥尻町</t>
  </si>
  <si>
    <t>イロハニホヘト</t>
    <phoneticPr fontId="6"/>
  </si>
  <si>
    <t>北函福第２号</t>
    <phoneticPr fontId="9"/>
  </si>
  <si>
    <t>社会福祉法人　厚沢部町社会福祉協議会</t>
    <rPh sb="0" eb="2">
      <t>シャカイ</t>
    </rPh>
    <rPh sb="2" eb="4">
      <t>フクシ</t>
    </rPh>
    <rPh sb="4" eb="6">
      <t>ホウジン</t>
    </rPh>
    <rPh sb="7" eb="11">
      <t>アッサブチョウ</t>
    </rPh>
    <rPh sb="11" eb="13">
      <t>シャカイ</t>
    </rPh>
    <rPh sb="13" eb="15">
      <t>フクシ</t>
    </rPh>
    <rPh sb="15" eb="18">
      <t>キョウギカイ</t>
    </rPh>
    <phoneticPr fontId="9"/>
  </si>
  <si>
    <t>山畔　清悦</t>
  </si>
  <si>
    <t>檜山郡厚沢部町新町１８１番地の６</t>
  </si>
  <si>
    <t>社会福祉法人厚沢部町社会福祉協議会</t>
  </si>
  <si>
    <t>北函福第３号</t>
    <phoneticPr fontId="9"/>
  </si>
  <si>
    <t>社会福祉法人　松前町社会福祉協議会</t>
    <rPh sb="0" eb="2">
      <t>シャカイ</t>
    </rPh>
    <rPh sb="2" eb="4">
      <t>フクシ</t>
    </rPh>
    <rPh sb="4" eb="6">
      <t>ホウジン</t>
    </rPh>
    <rPh sb="7" eb="10">
      <t>マツサキマチ</t>
    </rPh>
    <rPh sb="10" eb="12">
      <t>シャカイ</t>
    </rPh>
    <rPh sb="12" eb="14">
      <t>フクシ</t>
    </rPh>
    <rPh sb="14" eb="17">
      <t>キョウギカイ</t>
    </rPh>
    <phoneticPr fontId="9"/>
  </si>
  <si>
    <t>長瀬　弘雄</t>
  </si>
  <si>
    <t>〒049-1512</t>
    <phoneticPr fontId="6"/>
  </si>
  <si>
    <t>松前郡松前町字福山２３６番地の４</t>
  </si>
  <si>
    <t>社会福祉法人松前町社会福祉協議会</t>
  </si>
  <si>
    <t>松前郡松前郡松前町字福山２３６番地の４</t>
  </si>
  <si>
    <t>松前郡松前町</t>
  </si>
  <si>
    <t>イ　　二</t>
    <rPh sb="3" eb="4">
      <t>ニ</t>
    </rPh>
    <phoneticPr fontId="6"/>
  </si>
  <si>
    <t>北函福第４号</t>
    <phoneticPr fontId="9"/>
  </si>
  <si>
    <t>社会福祉法人　福島町社会福祉協議会</t>
    <rPh sb="0" eb="2">
      <t>シャカイ</t>
    </rPh>
    <rPh sb="2" eb="4">
      <t>フクシ</t>
    </rPh>
    <rPh sb="4" eb="6">
      <t>ホウジン</t>
    </rPh>
    <rPh sb="7" eb="10">
      <t>フクシマチョウ</t>
    </rPh>
    <rPh sb="10" eb="12">
      <t>シャカイ</t>
    </rPh>
    <rPh sb="12" eb="14">
      <t>フクシ</t>
    </rPh>
    <rPh sb="14" eb="17">
      <t>キョウギカイ</t>
    </rPh>
    <phoneticPr fontId="9"/>
  </si>
  <si>
    <t>丁子谷　雅男</t>
  </si>
  <si>
    <t>〒049-1331</t>
    <phoneticPr fontId="6"/>
  </si>
  <si>
    <t>松前郡福島町字三岳３２番地の３</t>
  </si>
  <si>
    <t>社会福祉法人福島町社会福祉協議会</t>
  </si>
  <si>
    <t>松前郡福島町</t>
  </si>
  <si>
    <t>イ　　二ホ</t>
    <rPh sb="3" eb="4">
      <t>ニ</t>
    </rPh>
    <phoneticPr fontId="6"/>
  </si>
  <si>
    <t>北函福第６号</t>
    <phoneticPr fontId="9"/>
  </si>
  <si>
    <t>社会福祉法人　青雲の森</t>
    <rPh sb="0" eb="2">
      <t>シャカイ</t>
    </rPh>
    <rPh sb="2" eb="4">
      <t>フクシ</t>
    </rPh>
    <rPh sb="4" eb="6">
      <t>ホウジン</t>
    </rPh>
    <rPh sb="7" eb="9">
      <t>セイウン</t>
    </rPh>
    <rPh sb="10" eb="11">
      <t>モリ</t>
    </rPh>
    <phoneticPr fontId="9"/>
  </si>
  <si>
    <t>益　幸代</t>
  </si>
  <si>
    <t>〒049-2141</t>
    <phoneticPr fontId="6"/>
  </si>
  <si>
    <t>茅部郡森町字駒ヶ岳３５２番地</t>
  </si>
  <si>
    <t>社会福祉法人青雲の森　訪問介護事業所</t>
  </si>
  <si>
    <t>茅部郡森町</t>
  </si>
  <si>
    <t>イロ　二ホ　</t>
    <rPh sb="3" eb="4">
      <t>ニ</t>
    </rPh>
    <phoneticPr fontId="6"/>
  </si>
  <si>
    <t>北函福第７号</t>
    <phoneticPr fontId="9"/>
  </si>
  <si>
    <t>医療法人社団　明山会</t>
    <rPh sb="0" eb="2">
      <t>イリョウ</t>
    </rPh>
    <rPh sb="2" eb="4">
      <t>ホウジン</t>
    </rPh>
    <rPh sb="4" eb="6">
      <t>シャダン</t>
    </rPh>
    <rPh sb="7" eb="9">
      <t>アキヤマ</t>
    </rPh>
    <rPh sb="9" eb="10">
      <t>カイ</t>
    </rPh>
    <phoneticPr fontId="9"/>
  </si>
  <si>
    <t>山本　登</t>
  </si>
  <si>
    <t>〒999-3712</t>
    <phoneticPr fontId="6"/>
  </si>
  <si>
    <t>山形県東根市大森２丁目３番６号</t>
  </si>
  <si>
    <t>道南森ロイヤル指定訪問介護事業所</t>
  </si>
  <si>
    <t>茅部郡森町字上台町３２６番１１８</t>
  </si>
  <si>
    <t>　　　二　　</t>
    <rPh sb="3" eb="4">
      <t>ニ</t>
    </rPh>
    <phoneticPr fontId="6"/>
  </si>
  <si>
    <t>北函福第９号</t>
    <phoneticPr fontId="9"/>
  </si>
  <si>
    <t>社会福祉法人　上ノ国町社会福祉協議会</t>
    <rPh sb="0" eb="2">
      <t>シャカイ</t>
    </rPh>
    <rPh sb="2" eb="4">
      <t>フクシ</t>
    </rPh>
    <rPh sb="4" eb="6">
      <t>ホウジン</t>
    </rPh>
    <rPh sb="7" eb="8">
      <t>カミ</t>
    </rPh>
    <rPh sb="9" eb="11">
      <t>クニチョウ</t>
    </rPh>
    <rPh sb="11" eb="13">
      <t>シャカイ</t>
    </rPh>
    <rPh sb="13" eb="15">
      <t>フクシ</t>
    </rPh>
    <rPh sb="15" eb="18">
      <t>キョウギカイ</t>
    </rPh>
    <phoneticPr fontId="9"/>
  </si>
  <si>
    <t>明上　廣男</t>
    <rPh sb="0" eb="2">
      <t>ミョウジョウ</t>
    </rPh>
    <rPh sb="3" eb="5">
      <t>ヒロオ</t>
    </rPh>
    <phoneticPr fontId="6"/>
  </si>
  <si>
    <t>〒049-0621</t>
    <phoneticPr fontId="6"/>
  </si>
  <si>
    <t>檜山郡上ノ国町字大留９６番地</t>
  </si>
  <si>
    <t>社会福祉法人上ノ国町社会福祉協議会</t>
  </si>
  <si>
    <t>檜山郡上ノ国町</t>
  </si>
  <si>
    <t>北函福第１０号</t>
    <phoneticPr fontId="9"/>
  </si>
  <si>
    <t>社会福祉法人　江差町社会福祉協議会</t>
    <rPh sb="0" eb="2">
      <t>シャカイ</t>
    </rPh>
    <rPh sb="2" eb="4">
      <t>フクシ</t>
    </rPh>
    <rPh sb="4" eb="6">
      <t>ホウジン</t>
    </rPh>
    <rPh sb="7" eb="9">
      <t>エサシ</t>
    </rPh>
    <rPh sb="9" eb="10">
      <t>チョウ</t>
    </rPh>
    <rPh sb="10" eb="12">
      <t>シャカイ</t>
    </rPh>
    <rPh sb="12" eb="14">
      <t>フクシ</t>
    </rPh>
    <rPh sb="14" eb="17">
      <t>キョウギカイ</t>
    </rPh>
    <phoneticPr fontId="9"/>
  </si>
  <si>
    <t>片石　明廣</t>
  </si>
  <si>
    <t>〒043-0032</t>
    <phoneticPr fontId="6"/>
  </si>
  <si>
    <t>檜山郡江差町字新栄町２６４番地の２</t>
  </si>
  <si>
    <t>社会福祉法人江差町社会福祉協議会</t>
  </si>
  <si>
    <t>イロ　二ホへト</t>
    <rPh sb="3" eb="4">
      <t>ニ</t>
    </rPh>
    <phoneticPr fontId="6"/>
  </si>
  <si>
    <t>北函福第１１号</t>
    <phoneticPr fontId="9"/>
  </si>
  <si>
    <t>医療法人　道南勤労者医療協会</t>
    <rPh sb="0" eb="2">
      <t>イリョウ</t>
    </rPh>
    <rPh sb="2" eb="4">
      <t>ホウジン</t>
    </rPh>
    <rPh sb="5" eb="7">
      <t>ドウナン</t>
    </rPh>
    <rPh sb="7" eb="10">
      <t>キンロウシャ</t>
    </rPh>
    <rPh sb="10" eb="12">
      <t>イリョウ</t>
    </rPh>
    <rPh sb="12" eb="14">
      <t>キョウカイ</t>
    </rPh>
    <phoneticPr fontId="9"/>
  </si>
  <si>
    <t>佐々木　悟</t>
  </si>
  <si>
    <t>〒041-0853</t>
    <phoneticPr fontId="6"/>
  </si>
  <si>
    <t>函館市中道２丁目５１番１号</t>
  </si>
  <si>
    <t>ヘルパーステーションゆいっこ</t>
  </si>
  <si>
    <t>檜山郡江差町字中歌町１９９番６号</t>
  </si>
  <si>
    <t>イロハ二ホ　ト</t>
    <rPh sb="3" eb="4">
      <t>ニ</t>
    </rPh>
    <phoneticPr fontId="6"/>
  </si>
  <si>
    <t>北函福第１５号</t>
    <phoneticPr fontId="9"/>
  </si>
  <si>
    <t>社会福祉法人　七飯町社会福祉協議会</t>
    <rPh sb="0" eb="2">
      <t>シャカイ</t>
    </rPh>
    <rPh sb="2" eb="4">
      <t>フクシ</t>
    </rPh>
    <rPh sb="4" eb="6">
      <t>ホウジン</t>
    </rPh>
    <rPh sb="7" eb="10">
      <t>ナナエチョウ</t>
    </rPh>
    <rPh sb="10" eb="12">
      <t>シャカイ</t>
    </rPh>
    <rPh sb="12" eb="14">
      <t>フクシ</t>
    </rPh>
    <rPh sb="14" eb="17">
      <t>キョウギカイ</t>
    </rPh>
    <phoneticPr fontId="9"/>
  </si>
  <si>
    <t>伊藤　千惠子</t>
  </si>
  <si>
    <t>〒041-1111</t>
    <phoneticPr fontId="6"/>
  </si>
  <si>
    <t>亀田郡七飯町本町４丁目８番１号</t>
  </si>
  <si>
    <t>社会福祉法人七飯町社会福祉協議会</t>
  </si>
  <si>
    <t>亀田郡七飯町</t>
  </si>
  <si>
    <t>イロ　ニ</t>
    <phoneticPr fontId="6"/>
  </si>
  <si>
    <t>北函福第１６号</t>
    <phoneticPr fontId="9"/>
  </si>
  <si>
    <t>社会福祉法人　北斗市社会福祉協議会</t>
    <rPh sb="0" eb="2">
      <t>シャカイ</t>
    </rPh>
    <rPh sb="2" eb="4">
      <t>フクシ</t>
    </rPh>
    <rPh sb="4" eb="6">
      <t>ホウジン</t>
    </rPh>
    <rPh sb="7" eb="10">
      <t>ホクトシ</t>
    </rPh>
    <rPh sb="10" eb="12">
      <t>シャカイ</t>
    </rPh>
    <rPh sb="12" eb="14">
      <t>フクシ</t>
    </rPh>
    <rPh sb="14" eb="17">
      <t>キョウギカイ</t>
    </rPh>
    <phoneticPr fontId="9"/>
  </si>
  <si>
    <t>三上　裕子</t>
  </si>
  <si>
    <t>〒049-0156</t>
    <phoneticPr fontId="6"/>
  </si>
  <si>
    <t>北斗市中野通２丁目１８番１号</t>
  </si>
  <si>
    <t>社会福祉法人北斗市社会福祉協議会</t>
  </si>
  <si>
    <t>北斗市中野通２丁目１８番１号（北斗市保健センター内）</t>
  </si>
  <si>
    <t>北斗市</t>
  </si>
  <si>
    <t>イロハニ　　ト</t>
    <phoneticPr fontId="6"/>
  </si>
  <si>
    <t>北函福第１７号</t>
    <phoneticPr fontId="9"/>
  </si>
  <si>
    <t>社会福祉法人　上磯はまなす</t>
    <rPh sb="0" eb="2">
      <t>シャカイ</t>
    </rPh>
    <rPh sb="2" eb="4">
      <t>フクシ</t>
    </rPh>
    <rPh sb="4" eb="6">
      <t>ホウジン</t>
    </rPh>
    <rPh sb="7" eb="9">
      <t>カミイソ</t>
    </rPh>
    <phoneticPr fontId="9"/>
  </si>
  <si>
    <t>新山　正儀</t>
  </si>
  <si>
    <t>〒049-0158</t>
    <phoneticPr fontId="6"/>
  </si>
  <si>
    <t>北斗市野崎１９９番地の１</t>
  </si>
  <si>
    <t>移送サービス事業部はまなすの里</t>
    <phoneticPr fontId="6"/>
  </si>
  <si>
    <t>北斗市中野通３丁目１９番９号</t>
  </si>
  <si>
    <t>　　　二</t>
    <rPh sb="3" eb="4">
      <t>ニ</t>
    </rPh>
    <phoneticPr fontId="6"/>
  </si>
  <si>
    <t>北函福第１８号</t>
    <phoneticPr fontId="9"/>
  </si>
  <si>
    <t>社会福祉法人　侑愛会</t>
    <rPh sb="0" eb="2">
      <t>シャカイ</t>
    </rPh>
    <rPh sb="2" eb="4">
      <t>フクシ</t>
    </rPh>
    <rPh sb="4" eb="6">
      <t>ホウジン</t>
    </rPh>
    <rPh sb="8" eb="9">
      <t>アイ</t>
    </rPh>
    <rPh sb="9" eb="10">
      <t>カイ</t>
    </rPh>
    <phoneticPr fontId="9"/>
  </si>
  <si>
    <t>大場　公孝</t>
  </si>
  <si>
    <t>〒049-0101</t>
    <phoneticPr fontId="6"/>
  </si>
  <si>
    <t>北海道北斗市追分７丁目８番９号</t>
  </si>
  <si>
    <t>ヘルパーステーションルーチェ</t>
    <phoneticPr fontId="6"/>
  </si>
  <si>
    <t>北斗市久根別１丁目７番１０号</t>
  </si>
  <si>
    <t>イロハ</t>
    <phoneticPr fontId="6"/>
  </si>
  <si>
    <t>北函福第２０号</t>
    <rPh sb="2" eb="3">
      <t>フク</t>
    </rPh>
    <phoneticPr fontId="9"/>
  </si>
  <si>
    <t>社会福祉法人　知内町社会福祉協議会</t>
    <rPh sb="0" eb="2">
      <t>シャカイ</t>
    </rPh>
    <rPh sb="2" eb="4">
      <t>フクシ</t>
    </rPh>
    <rPh sb="4" eb="6">
      <t>ホウジン</t>
    </rPh>
    <rPh sb="7" eb="10">
      <t>シリウチチョウ</t>
    </rPh>
    <rPh sb="10" eb="12">
      <t>シャカイ</t>
    </rPh>
    <rPh sb="12" eb="14">
      <t>フクシ</t>
    </rPh>
    <rPh sb="14" eb="17">
      <t>キョウギカイ</t>
    </rPh>
    <phoneticPr fontId="9"/>
  </si>
  <si>
    <t>藤谷　利弘</t>
  </si>
  <si>
    <t>〒049-1103</t>
    <phoneticPr fontId="6"/>
  </si>
  <si>
    <t>上磯郡知内町字重内２１番地１</t>
  </si>
  <si>
    <t>社会福祉法人知内町社会福祉協議会</t>
  </si>
  <si>
    <t>上磯郡知内町</t>
  </si>
  <si>
    <t>北函福第２１号</t>
    <phoneticPr fontId="9"/>
  </si>
  <si>
    <t>特定非営利活動法人　救命のリレー普及会</t>
    <rPh sb="0" eb="2">
      <t>トクテイ</t>
    </rPh>
    <rPh sb="2" eb="5">
      <t>ヒエイリ</t>
    </rPh>
    <rPh sb="5" eb="7">
      <t>カツドウ</t>
    </rPh>
    <rPh sb="7" eb="9">
      <t>ホウジン</t>
    </rPh>
    <rPh sb="10" eb="12">
      <t>キュウメイ</t>
    </rPh>
    <rPh sb="16" eb="18">
      <t>フキュウ</t>
    </rPh>
    <rPh sb="18" eb="19">
      <t>カイ</t>
    </rPh>
    <phoneticPr fontId="9"/>
  </si>
  <si>
    <t>田中　正博</t>
  </si>
  <si>
    <t>〒042-0955</t>
    <phoneticPr fontId="6"/>
  </si>
  <si>
    <t>函館市高丘町５番３号</t>
  </si>
  <si>
    <t>特定非営利活動法人　救命のリレー普及会</t>
  </si>
  <si>
    <t>函館市</t>
  </si>
  <si>
    <t>北函福第２２号</t>
    <phoneticPr fontId="9"/>
  </si>
  <si>
    <t>社会福祉法人　鹿部町社会福祉協議会</t>
    <rPh sb="0" eb="2">
      <t>シャカイ</t>
    </rPh>
    <rPh sb="2" eb="4">
      <t>フクシ</t>
    </rPh>
    <rPh sb="4" eb="6">
      <t>ホウジン</t>
    </rPh>
    <rPh sb="7" eb="9">
      <t>シカベ</t>
    </rPh>
    <rPh sb="9" eb="10">
      <t>チョウ</t>
    </rPh>
    <rPh sb="10" eb="12">
      <t>シャカイ</t>
    </rPh>
    <rPh sb="12" eb="14">
      <t>フクシ</t>
    </rPh>
    <rPh sb="14" eb="17">
      <t>キョウギカイ</t>
    </rPh>
    <phoneticPr fontId="9"/>
  </si>
  <si>
    <t>松本　善一</t>
  </si>
  <si>
    <t>〒041-1403</t>
    <phoneticPr fontId="6"/>
  </si>
  <si>
    <t>茅部郡鹿部町字宮浜２１０番地６</t>
  </si>
  <si>
    <t>社会福祉法人鹿部町社会福祉協議会</t>
  </si>
  <si>
    <t>茅部郡鹿部町字宮浜２１０番地６</t>
    <phoneticPr fontId="6"/>
  </si>
  <si>
    <t>茅部郡鹿部町</t>
  </si>
  <si>
    <t>北函福第２４号</t>
    <phoneticPr fontId="9"/>
  </si>
  <si>
    <t>特定非営利活動法人　南桧山在宅福祉支援ゆい</t>
    <rPh sb="0" eb="2">
      <t>トクテイ</t>
    </rPh>
    <rPh sb="2" eb="5">
      <t>ヒエイリ</t>
    </rPh>
    <rPh sb="5" eb="7">
      <t>カツドウ</t>
    </rPh>
    <rPh sb="7" eb="9">
      <t>ホウジン</t>
    </rPh>
    <rPh sb="10" eb="11">
      <t>ミナミ</t>
    </rPh>
    <rPh sb="11" eb="13">
      <t>ヒヤマ</t>
    </rPh>
    <rPh sb="13" eb="15">
      <t>ザイタク</t>
    </rPh>
    <rPh sb="15" eb="17">
      <t>フクシ</t>
    </rPh>
    <rPh sb="17" eb="19">
      <t>シエン</t>
    </rPh>
    <phoneticPr fontId="9"/>
  </si>
  <si>
    <t>小野寺　真</t>
    <rPh sb="0" eb="3">
      <t>オノデラ</t>
    </rPh>
    <rPh sb="4" eb="5">
      <t>マコト</t>
    </rPh>
    <phoneticPr fontId="6"/>
  </si>
  <si>
    <t xml:space="preserve">〒043-0056 </t>
    <phoneticPr fontId="6"/>
  </si>
  <si>
    <t>檜山郡江差町字陣屋町２１番地</t>
    <rPh sb="7" eb="10">
      <t>ジンヤチョウ</t>
    </rPh>
    <rPh sb="12" eb="14">
      <t>バンチ</t>
    </rPh>
    <phoneticPr fontId="6"/>
  </si>
  <si>
    <t>特定非営利活動法人南活動法人南桧山在宅福祉支援ゆい</t>
    <phoneticPr fontId="6"/>
  </si>
  <si>
    <t>檜山郡江差町字陣屋町２１番地</t>
    <phoneticPr fontId="6"/>
  </si>
  <si>
    <t>イロ　ニホヘト</t>
    <phoneticPr fontId="6"/>
  </si>
  <si>
    <t>北函福第２５号</t>
    <phoneticPr fontId="9"/>
  </si>
  <si>
    <t>ＮＰＯ法人ちえのわ</t>
    <rPh sb="3" eb="5">
      <t>ホウジン</t>
    </rPh>
    <phoneticPr fontId="9"/>
  </si>
  <si>
    <t>小柄　千恵子</t>
  </si>
  <si>
    <t>〒041-1104</t>
    <phoneticPr fontId="6"/>
  </si>
  <si>
    <t>亀田郡七飯町字上藤城３１３番地１２３</t>
  </si>
  <si>
    <t>ＮＰＯ法人ちえのわ</t>
    <phoneticPr fontId="6"/>
  </si>
  <si>
    <t>イロハ二ホ　</t>
    <rPh sb="3" eb="4">
      <t>ニ</t>
    </rPh>
    <phoneticPr fontId="6"/>
  </si>
  <si>
    <t>北函福第２６号</t>
    <rPh sb="0" eb="3">
      <t>キタハコフク</t>
    </rPh>
    <rPh sb="3" eb="4">
      <t>ダイ</t>
    </rPh>
    <rPh sb="6" eb="7">
      <t>ゴウ</t>
    </rPh>
    <phoneticPr fontId="9"/>
  </si>
  <si>
    <t>-</t>
    <phoneticPr fontId="6"/>
  </si>
  <si>
    <t>社会福祉法人　雄心会</t>
    <rPh sb="0" eb="2">
      <t>シャカイ</t>
    </rPh>
    <rPh sb="2" eb="4">
      <t>フクシ</t>
    </rPh>
    <rPh sb="4" eb="6">
      <t>ホウジン</t>
    </rPh>
    <rPh sb="7" eb="8">
      <t>オス</t>
    </rPh>
    <rPh sb="8" eb="9">
      <t>ゴコロ</t>
    </rPh>
    <rPh sb="9" eb="10">
      <t>カイ</t>
    </rPh>
    <phoneticPr fontId="6"/>
  </si>
  <si>
    <t>伊藤　正明</t>
    <rPh sb="0" eb="2">
      <t>イトウ</t>
    </rPh>
    <rPh sb="3" eb="5">
      <t>マサアキ</t>
    </rPh>
    <phoneticPr fontId="6"/>
  </si>
  <si>
    <t>〒041-1221</t>
    <phoneticPr fontId="6"/>
  </si>
  <si>
    <t>北斗市清水川４番地１</t>
    <rPh sb="0" eb="3">
      <t>ホクトシ</t>
    </rPh>
    <rPh sb="3" eb="5">
      <t>シミズ</t>
    </rPh>
    <rPh sb="5" eb="6">
      <t>ガワ</t>
    </rPh>
    <rPh sb="7" eb="9">
      <t>バンチ</t>
    </rPh>
    <phoneticPr fontId="6"/>
  </si>
  <si>
    <t>ケアステーションかがやき</t>
    <phoneticPr fontId="6"/>
  </si>
  <si>
    <t>久遠郡せたな町北檜山区豊岡３３７番地１</t>
    <rPh sb="0" eb="2">
      <t>クドオ</t>
    </rPh>
    <rPh sb="2" eb="3">
      <t>グン</t>
    </rPh>
    <rPh sb="6" eb="7">
      <t>チョウ</t>
    </rPh>
    <rPh sb="7" eb="10">
      <t>キタヒヤマ</t>
    </rPh>
    <rPh sb="10" eb="11">
      <t>ク</t>
    </rPh>
    <rPh sb="11" eb="13">
      <t>トヨオカ</t>
    </rPh>
    <rPh sb="16" eb="18">
      <t>バンチ</t>
    </rPh>
    <phoneticPr fontId="6"/>
  </si>
  <si>
    <t>久遠郡せたな町</t>
    <rPh sb="0" eb="2">
      <t>クドオ</t>
    </rPh>
    <rPh sb="2" eb="3">
      <t>グン</t>
    </rPh>
    <rPh sb="6" eb="7">
      <t>チョウ</t>
    </rPh>
    <phoneticPr fontId="6"/>
  </si>
  <si>
    <t>北函福第２７号</t>
    <rPh sb="0" eb="3">
      <t>キタハコフク</t>
    </rPh>
    <rPh sb="3" eb="4">
      <t>ダイ</t>
    </rPh>
    <rPh sb="6" eb="7">
      <t>ゴウ</t>
    </rPh>
    <phoneticPr fontId="9"/>
  </si>
  <si>
    <t>医療法人財団　明理会</t>
    <rPh sb="0" eb="6">
      <t>イリョウホウジンザイダン</t>
    </rPh>
    <rPh sb="7" eb="8">
      <t>メイ</t>
    </rPh>
    <rPh sb="8" eb="10">
      <t>リカイ</t>
    </rPh>
    <phoneticPr fontId="6"/>
  </si>
  <si>
    <t>中村　哲也</t>
    <rPh sb="0" eb="2">
      <t>ナカムラ</t>
    </rPh>
    <rPh sb="3" eb="5">
      <t>テツヤ</t>
    </rPh>
    <phoneticPr fontId="6"/>
  </si>
  <si>
    <t>〒173-0001</t>
    <phoneticPr fontId="6"/>
  </si>
  <si>
    <t>東京都板橋区本町３６番地３号</t>
    <rPh sb="0" eb="8">
      <t>173-0001</t>
    </rPh>
    <rPh sb="10" eb="12">
      <t>バンチ</t>
    </rPh>
    <rPh sb="13" eb="14">
      <t>ゴウ</t>
    </rPh>
    <phoneticPr fontId="6"/>
  </si>
  <si>
    <t>道南森ロイヤル指定訪問介護事業所</t>
    <rPh sb="0" eb="3">
      <t>ドウナンモリ</t>
    </rPh>
    <rPh sb="7" eb="9">
      <t>シテイ</t>
    </rPh>
    <rPh sb="9" eb="11">
      <t>ホウモン</t>
    </rPh>
    <rPh sb="11" eb="13">
      <t>カイゴ</t>
    </rPh>
    <rPh sb="13" eb="16">
      <t>ジギョウショ</t>
    </rPh>
    <phoneticPr fontId="6"/>
  </si>
  <si>
    <t>茅部郡森町字上台町３２６番地１１８</t>
    <rPh sb="0" eb="3">
      <t>カヤベグン</t>
    </rPh>
    <rPh sb="3" eb="5">
      <t>モリマチ</t>
    </rPh>
    <rPh sb="5" eb="6">
      <t>アザ</t>
    </rPh>
    <rPh sb="6" eb="9">
      <t>カミダイチョウ</t>
    </rPh>
    <rPh sb="12" eb="14">
      <t>バンチ</t>
    </rPh>
    <phoneticPr fontId="6"/>
  </si>
  <si>
    <t>茅部郡森町</t>
    <rPh sb="0" eb="3">
      <t>カヤベグン</t>
    </rPh>
    <rPh sb="3" eb="5">
      <t>モリマチ</t>
    </rPh>
    <phoneticPr fontId="6"/>
  </si>
  <si>
    <t>　　　　ニ</t>
    <phoneticPr fontId="6"/>
  </si>
  <si>
    <t>運送する旅客の範囲（福祉）</t>
  </si>
  <si>
    <t>新</t>
    <rPh sb="0" eb="1">
      <t>シン</t>
    </rPh>
    <phoneticPr fontId="6"/>
  </si>
  <si>
    <t>イ</t>
    <phoneticPr fontId="6"/>
  </si>
  <si>
    <r>
      <t>身体障害者福祉法第４条に規定する</t>
    </r>
    <r>
      <rPr>
        <sz val="11"/>
        <color rgb="FFFF0000"/>
        <rFont val="游ゴシック"/>
        <family val="3"/>
        <charset val="128"/>
        <scheme val="minor"/>
      </rPr>
      <t>身体障害者</t>
    </r>
    <rPh sb="0" eb="2">
      <t>シンタイ</t>
    </rPh>
    <rPh sb="2" eb="4">
      <t>ショウガイ</t>
    </rPh>
    <rPh sb="4" eb="5">
      <t>シャ</t>
    </rPh>
    <rPh sb="5" eb="7">
      <t>フクシ</t>
    </rPh>
    <rPh sb="7" eb="8">
      <t>ホウ</t>
    </rPh>
    <rPh sb="8" eb="9">
      <t>ダイ</t>
    </rPh>
    <rPh sb="10" eb="11">
      <t>ジョウ</t>
    </rPh>
    <rPh sb="12" eb="14">
      <t>キテイ</t>
    </rPh>
    <rPh sb="16" eb="18">
      <t>シンタイ</t>
    </rPh>
    <rPh sb="18" eb="20">
      <t>ショウガイ</t>
    </rPh>
    <rPh sb="20" eb="21">
      <t>シャ</t>
    </rPh>
    <phoneticPr fontId="6"/>
  </si>
  <si>
    <t>ロ</t>
    <phoneticPr fontId="6"/>
  </si>
  <si>
    <r>
      <t>精神保健及び精神障害者福祉に関する法律第５条に規定する</t>
    </r>
    <r>
      <rPr>
        <sz val="11"/>
        <color rgb="FFFF0000"/>
        <rFont val="游ゴシック"/>
        <family val="3"/>
        <charset val="128"/>
        <scheme val="minor"/>
      </rPr>
      <t>精神障害者</t>
    </r>
    <rPh sb="2" eb="4">
      <t>ホケン</t>
    </rPh>
    <rPh sb="4" eb="5">
      <t>オヨ</t>
    </rPh>
    <rPh sb="6" eb="8">
      <t>セイシン</t>
    </rPh>
    <rPh sb="10" eb="11">
      <t>シャ</t>
    </rPh>
    <rPh sb="11" eb="13">
      <t>フクシ</t>
    </rPh>
    <rPh sb="14" eb="15">
      <t>カン</t>
    </rPh>
    <rPh sb="17" eb="19">
      <t>ホウリツ</t>
    </rPh>
    <rPh sb="19" eb="20">
      <t>ダイ</t>
    </rPh>
    <rPh sb="21" eb="22">
      <t>ジョウ</t>
    </rPh>
    <rPh sb="23" eb="25">
      <t>キテイ</t>
    </rPh>
    <rPh sb="27" eb="29">
      <t>セイシン</t>
    </rPh>
    <rPh sb="29" eb="32">
      <t>ショウガイシャ</t>
    </rPh>
    <phoneticPr fontId="6"/>
  </si>
  <si>
    <t>ハ</t>
    <phoneticPr fontId="6"/>
  </si>
  <si>
    <r>
      <t>障害者の雇用の促進等に関する法律第２条第４号に規定する</t>
    </r>
    <r>
      <rPr>
        <sz val="11"/>
        <color rgb="FFFF0000"/>
        <rFont val="游ゴシック"/>
        <family val="3"/>
        <charset val="128"/>
        <scheme val="minor"/>
      </rPr>
      <t>知的障害者</t>
    </r>
    <rPh sb="0" eb="3">
      <t>ショウガイシャ</t>
    </rPh>
    <rPh sb="4" eb="6">
      <t>コヨウ</t>
    </rPh>
    <rPh sb="7" eb="9">
      <t>ソクシン</t>
    </rPh>
    <rPh sb="9" eb="10">
      <t>トウ</t>
    </rPh>
    <rPh sb="11" eb="12">
      <t>カン</t>
    </rPh>
    <rPh sb="14" eb="16">
      <t>ホウリツ</t>
    </rPh>
    <rPh sb="16" eb="17">
      <t>ダイ</t>
    </rPh>
    <rPh sb="18" eb="19">
      <t>ジョウ</t>
    </rPh>
    <rPh sb="19" eb="20">
      <t>ダイ</t>
    </rPh>
    <rPh sb="21" eb="22">
      <t>ゴウ</t>
    </rPh>
    <rPh sb="23" eb="25">
      <t>キテイ</t>
    </rPh>
    <rPh sb="27" eb="29">
      <t>チテキ</t>
    </rPh>
    <rPh sb="29" eb="31">
      <t>ショウガイ</t>
    </rPh>
    <rPh sb="31" eb="32">
      <t>シャ</t>
    </rPh>
    <phoneticPr fontId="6"/>
  </si>
  <si>
    <t>ニ</t>
    <phoneticPr fontId="6"/>
  </si>
  <si>
    <r>
      <t>介護保険法第十九条第一項に規定する</t>
    </r>
    <r>
      <rPr>
        <sz val="11"/>
        <color rgb="FFFF0000"/>
        <rFont val="ＭＳ Ｐゴシック"/>
        <family val="3"/>
        <charset val="128"/>
      </rPr>
      <t>要介護認定を受けている者</t>
    </r>
    <phoneticPr fontId="6"/>
  </si>
  <si>
    <t>ホ</t>
    <phoneticPr fontId="6"/>
  </si>
  <si>
    <r>
      <t>介護保険法第十九条第二項に規定する</t>
    </r>
    <r>
      <rPr>
        <sz val="11"/>
        <color rgb="FFFF0000"/>
        <rFont val="游ゴシック"/>
        <family val="3"/>
        <charset val="128"/>
        <scheme val="minor"/>
      </rPr>
      <t>要支援認定を受けている者</t>
    </r>
    <phoneticPr fontId="6"/>
  </si>
  <si>
    <t>ヘ</t>
    <phoneticPr fontId="6"/>
  </si>
  <si>
    <r>
      <t>介護保険施行規則第１４０条の６２の４第２号の</t>
    </r>
    <r>
      <rPr>
        <sz val="11"/>
        <color rgb="FFFF0000"/>
        <rFont val="游ゴシック"/>
        <family val="3"/>
        <charset val="128"/>
        <scheme val="minor"/>
      </rPr>
      <t>厚生労働大臣が定める基準に該当する者（基本チェックリスト該当者）</t>
    </r>
    <rPh sb="0" eb="2">
      <t>カイゴ</t>
    </rPh>
    <rPh sb="2" eb="4">
      <t>ホケン</t>
    </rPh>
    <rPh sb="4" eb="6">
      <t>セコウ</t>
    </rPh>
    <rPh sb="6" eb="8">
      <t>キソク</t>
    </rPh>
    <rPh sb="8" eb="9">
      <t>ダイ</t>
    </rPh>
    <rPh sb="12" eb="13">
      <t>ジョウ</t>
    </rPh>
    <rPh sb="18" eb="19">
      <t>ダイ</t>
    </rPh>
    <rPh sb="20" eb="21">
      <t>ゴウ</t>
    </rPh>
    <rPh sb="22" eb="24">
      <t>コウセイ</t>
    </rPh>
    <rPh sb="24" eb="26">
      <t>ロウドウ</t>
    </rPh>
    <rPh sb="26" eb="28">
      <t>ダイジン</t>
    </rPh>
    <rPh sb="29" eb="30">
      <t>サダ</t>
    </rPh>
    <rPh sb="32" eb="34">
      <t>キジュン</t>
    </rPh>
    <rPh sb="35" eb="37">
      <t>ガイトウ</t>
    </rPh>
    <rPh sb="39" eb="40">
      <t>モノ</t>
    </rPh>
    <rPh sb="41" eb="43">
      <t>キホン</t>
    </rPh>
    <rPh sb="50" eb="53">
      <t>ガイトウシャ</t>
    </rPh>
    <phoneticPr fontId="6"/>
  </si>
  <si>
    <t>ト</t>
    <phoneticPr fontId="6"/>
  </si>
  <si>
    <r>
      <t>その他肢体不自由、内部障害、知的障害、精神障害</t>
    </r>
    <r>
      <rPr>
        <sz val="11"/>
        <color rgb="FFFF0000"/>
        <rFont val="游ゴシック"/>
        <family val="3"/>
        <charset val="128"/>
        <scheme val="minor"/>
      </rPr>
      <t>その他の障害を有する者</t>
    </r>
    <phoneticPr fontId="6"/>
  </si>
  <si>
    <t>旧</t>
    <rPh sb="0" eb="1">
      <t>キュウ</t>
    </rPh>
    <phoneticPr fontId="6"/>
  </si>
  <si>
    <t>自家用有償旅客運送者登録簿</t>
    <rPh sb="0" eb="3">
      <t>ジカヨウ</t>
    </rPh>
    <rPh sb="3" eb="5">
      <t>ユウショウ</t>
    </rPh>
    <rPh sb="5" eb="7">
      <t>リョカク</t>
    </rPh>
    <rPh sb="7" eb="9">
      <t>ウンソウ</t>
    </rPh>
    <rPh sb="9" eb="10">
      <t>シャ</t>
    </rPh>
    <rPh sb="10" eb="13">
      <t>トウロクボ</t>
    </rPh>
    <phoneticPr fontId="6"/>
  </si>
  <si>
    <t>目次</t>
    <rPh sb="0" eb="2">
      <t>モクジ</t>
    </rPh>
    <phoneticPr fontId="6"/>
  </si>
  <si>
    <t>登録番号</t>
    <rPh sb="0" eb="1">
      <t>ノボル</t>
    </rPh>
    <rPh sb="1" eb="2">
      <t>ロク</t>
    </rPh>
    <rPh sb="2" eb="3">
      <t>バン</t>
    </rPh>
    <rPh sb="3" eb="4">
      <t>ゴウ</t>
    </rPh>
    <phoneticPr fontId="6"/>
  </si>
  <si>
    <t>北函市福第１号</t>
  </si>
  <si>
    <t>登録年月日</t>
    <rPh sb="0" eb="2">
      <t>トウロク</t>
    </rPh>
    <rPh sb="2" eb="5">
      <t>ネンガッピ</t>
    </rPh>
    <phoneticPr fontId="6"/>
  </si>
  <si>
    <t>更新登録年月日</t>
    <rPh sb="0" eb="2">
      <t>コウシン</t>
    </rPh>
    <rPh sb="2" eb="4">
      <t>トウロク</t>
    </rPh>
    <rPh sb="4" eb="7">
      <t>ネンガッピ</t>
    </rPh>
    <phoneticPr fontId="6"/>
  </si>
  <si>
    <t>有効期間</t>
    <rPh sb="0" eb="2">
      <t>ユウコウ</t>
    </rPh>
    <rPh sb="2" eb="4">
      <t>キカン</t>
    </rPh>
    <phoneticPr fontId="6"/>
  </si>
  <si>
    <t>名称</t>
    <rPh sb="0" eb="1">
      <t>ナ</t>
    </rPh>
    <rPh sb="1" eb="2">
      <t>ショウ</t>
    </rPh>
    <phoneticPr fontId="6"/>
  </si>
  <si>
    <t>代表者の氏名</t>
    <rPh sb="0" eb="3">
      <t>ダイヒョウシャ</t>
    </rPh>
    <rPh sb="4" eb="6">
      <t>シメイ</t>
    </rPh>
    <phoneticPr fontId="6"/>
  </si>
  <si>
    <t>住所</t>
    <rPh sb="0" eb="1">
      <t>ジュウ</t>
    </rPh>
    <rPh sb="1" eb="2">
      <t>ショ</t>
    </rPh>
    <phoneticPr fontId="6"/>
  </si>
  <si>
    <t>運送の種別</t>
    <rPh sb="0" eb="1">
      <t>ウン</t>
    </rPh>
    <rPh sb="1" eb="2">
      <t>ソウ</t>
    </rPh>
    <rPh sb="3" eb="4">
      <t>タネ</t>
    </rPh>
    <rPh sb="4" eb="5">
      <t>ベツ</t>
    </rPh>
    <phoneticPr fontId="6"/>
  </si>
  <si>
    <t>福祉有償運送</t>
    <rPh sb="0" eb="2">
      <t>フクシ</t>
    </rPh>
    <rPh sb="2" eb="4">
      <t>ユウショウ</t>
    </rPh>
    <rPh sb="4" eb="6">
      <t>ウンソウ</t>
    </rPh>
    <phoneticPr fontId="6"/>
  </si>
  <si>
    <t>○</t>
  </si>
  <si>
    <t>事務所の名称及び位置</t>
    <rPh sb="0" eb="3">
      <t>ジムショ</t>
    </rPh>
    <rPh sb="4" eb="6">
      <t>メイショウ</t>
    </rPh>
    <rPh sb="6" eb="7">
      <t>オヨ</t>
    </rPh>
    <rPh sb="8" eb="9">
      <t>クライ</t>
    </rPh>
    <rPh sb="9" eb="10">
      <t>オキ</t>
    </rPh>
    <phoneticPr fontId="6"/>
  </si>
  <si>
    <t>名　　　　称</t>
    <rPh sb="0" eb="1">
      <t>ナ</t>
    </rPh>
    <rPh sb="5" eb="6">
      <t>ショウ</t>
    </rPh>
    <phoneticPr fontId="6"/>
  </si>
  <si>
    <t>位　　　　　置</t>
    <rPh sb="0" eb="1">
      <t>クライ</t>
    </rPh>
    <rPh sb="6" eb="7">
      <t>オキ</t>
    </rPh>
    <phoneticPr fontId="6"/>
  </si>
  <si>
    <t>路線又は運送の区域</t>
    <rPh sb="0" eb="1">
      <t>ミチ</t>
    </rPh>
    <rPh sb="1" eb="2">
      <t>セン</t>
    </rPh>
    <rPh sb="2" eb="3">
      <t>マタ</t>
    </rPh>
    <rPh sb="4" eb="5">
      <t>ウン</t>
    </rPh>
    <rPh sb="5" eb="6">
      <t>ソウ</t>
    </rPh>
    <rPh sb="7" eb="8">
      <t>ク</t>
    </rPh>
    <rPh sb="8" eb="9">
      <t>イキ</t>
    </rPh>
    <phoneticPr fontId="6"/>
  </si>
  <si>
    <t>運送する旅客の範囲</t>
    <rPh sb="0" eb="2">
      <t>ウンソウ</t>
    </rPh>
    <rPh sb="4" eb="6">
      <t>リョカク</t>
    </rPh>
    <rPh sb="7" eb="9">
      <t>ハンイ</t>
    </rPh>
    <phoneticPr fontId="6"/>
  </si>
  <si>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6"/>
  </si>
  <si>
    <t>氏名又は名称</t>
    <rPh sb="0" eb="2">
      <t>シメイ</t>
    </rPh>
    <rPh sb="2" eb="3">
      <t>マタ</t>
    </rPh>
    <rPh sb="4" eb="6">
      <t>メイショウ</t>
    </rPh>
    <phoneticPr fontId="6"/>
  </si>
  <si>
    <t>住　　　　所</t>
    <rPh sb="0" eb="1">
      <t>ジュウ</t>
    </rPh>
    <rPh sb="5" eb="6">
      <t>ショ</t>
    </rPh>
    <phoneticPr fontId="6"/>
  </si>
  <si>
    <t>備考</t>
    <rPh sb="0" eb="1">
      <t>ソナエ</t>
    </rPh>
    <rPh sb="1" eb="2">
      <t>コウ</t>
    </rPh>
    <phoneticPr fontId="6"/>
  </si>
  <si>
    <t>事務所</t>
    <rPh sb="0" eb="1">
      <t>コト</t>
    </rPh>
    <rPh sb="1" eb="2">
      <t>ツトム</t>
    </rPh>
    <rPh sb="2" eb="3">
      <t>ショ</t>
    </rPh>
    <phoneticPr fontId="6"/>
  </si>
  <si>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6"/>
  </si>
  <si>
    <t>寝台車</t>
    <rPh sb="0" eb="3">
      <t>シンダイシャ</t>
    </rPh>
    <phoneticPr fontId="6"/>
  </si>
  <si>
    <t>車いす車</t>
    <rPh sb="0" eb="1">
      <t>クルマ</t>
    </rPh>
    <rPh sb="3" eb="4">
      <t>グルマ</t>
    </rPh>
    <phoneticPr fontId="6"/>
  </si>
  <si>
    <t>兼用車</t>
    <rPh sb="0" eb="2">
      <t>ケンヨウ</t>
    </rPh>
    <rPh sb="2" eb="3">
      <t>クルマ</t>
    </rPh>
    <phoneticPr fontId="6"/>
  </si>
  <si>
    <t>回転シート車</t>
    <rPh sb="0" eb="2">
      <t>カイテン</t>
    </rPh>
    <rPh sb="5" eb="6">
      <t>シャ</t>
    </rPh>
    <phoneticPr fontId="6"/>
  </si>
  <si>
    <t>セダン等</t>
    <rPh sb="3" eb="4">
      <t>トウ</t>
    </rPh>
    <phoneticPr fontId="6"/>
  </si>
  <si>
    <t>バ　ス</t>
    <phoneticPr fontId="6"/>
  </si>
  <si>
    <t>合　計</t>
    <rPh sb="0" eb="1">
      <t>ゴウ</t>
    </rPh>
    <rPh sb="2" eb="3">
      <t>ケイ</t>
    </rPh>
    <phoneticPr fontId="6"/>
  </si>
  <si>
    <t>（軽自動車）</t>
    <rPh sb="1" eb="5">
      <t>ケイジドウシャ</t>
    </rPh>
    <phoneticPr fontId="6"/>
  </si>
  <si>
    <t>福祉有償運送</t>
  </si>
  <si>
    <t>合計</t>
    <rPh sb="0" eb="2">
      <t>ゴウケイ</t>
    </rPh>
    <phoneticPr fontId="6"/>
  </si>
  <si>
    <t>北函市福第２号</t>
  </si>
  <si>
    <t>北函福第１号</t>
  </si>
  <si>
    <t>北函福第２号</t>
  </si>
  <si>
    <t>北函福第３号</t>
  </si>
  <si>
    <t>北函福第４号</t>
  </si>
  <si>
    <t>北函福第６号</t>
  </si>
  <si>
    <t>北函福第７号</t>
  </si>
  <si>
    <t>北函福第９号</t>
  </si>
  <si>
    <t>北函福第１０号</t>
  </si>
  <si>
    <t>北函福第１１号</t>
  </si>
  <si>
    <t>北函福第１５号</t>
  </si>
  <si>
    <t>北函福第１６号</t>
  </si>
  <si>
    <t>北函福第１７号</t>
  </si>
  <si>
    <t>北函福第１８号</t>
  </si>
  <si>
    <t>北函福第２０号</t>
  </si>
  <si>
    <t>北函福第２１号</t>
  </si>
  <si>
    <t>北函福第２２号</t>
  </si>
  <si>
    <t>　　</t>
    <phoneticPr fontId="6"/>
  </si>
  <si>
    <t>北函福第２４号</t>
  </si>
  <si>
    <t>北函福第２５号</t>
  </si>
  <si>
    <t>北函福第２６号</t>
    <phoneticPr fontId="6"/>
  </si>
  <si>
    <t>北函福第２７号</t>
    <rPh sb="0" eb="3">
      <t>キタハコフク</t>
    </rPh>
    <rPh sb="3" eb="4">
      <t>ダイ</t>
    </rPh>
    <rPh sb="6" eb="7">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</si>
</sst>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E+00"/>
    <numFmt numFmtId="177" formatCode="[$-411]ge\.m\.d;@"/>
    <numFmt numFmtId="178" formatCode="#,##0;[Red]#,##0"/>
    <numFmt numFmtId="179" formatCode="\(0\)"/>
    <numFmt numFmtId="180" formatCode="\(0\);;"/>
    <numFmt numFmtId="181" formatCode="&quot;北&quot;&quot;札&quot;&quot;市&quot;&quot;交&quot;&quot;第&quot;##&quot;号&quot;"/>
    <numFmt numFmtId="182" formatCode="0;;"/>
  </numFmts>
  <fonts count="27"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0"/>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8"/>
      <name val="ＭＳ ゴシック"/>
      <family val="3"/>
      <charset val="128"/>
    </font>
    <font>
      <sz val="6"/>
      <name val="標準ゴシック"/>
      <family val="3"/>
      <charset val="128"/>
    </font>
    <font>
      <sz val="8"/>
      <name val="標準ゴシック"/>
      <family val="3"/>
      <charset val="128"/>
    </font>
    <font>
      <sz val="10"/>
      <name val="ＭＳ ゴシック"/>
      <family val="3"/>
      <charset val="128"/>
    </font>
    <font>
      <sz val="11"/>
      <color indexed="8"/>
      <name val="ＭＳ Ｐゴシック"/>
      <family val="3"/>
      <charset val="128"/>
    </font>
    <font>
      <sz val="11"/>
      <name val="ＭＳ ゴシック"/>
      <family val="3"/>
      <charset val="128"/>
    </font>
    <font>
      <sz val="9"/>
      <color theme="1"/>
      <name val="游ゴシック"/>
      <family val="3"/>
      <charset val="128"/>
      <scheme val="minor"/>
    </font>
    <font>
      <sz val="10"/>
      <color theme="1"/>
      <name val="ＭＳ ゴシック"/>
      <family val="3"/>
      <charset val="128"/>
    </font>
    <font>
      <sz val="10"/>
      <name val="游ゴシック"/>
      <family val="3"/>
      <charset val="128"/>
      <scheme val="minor"/>
    </font>
    <font>
      <sz val="14"/>
      <name val="游ゴシック"/>
      <family val="3"/>
      <charset val="128"/>
      <scheme val="minor"/>
    </font>
    <font>
      <sz val="11"/>
      <name val="游ゴシック"/>
      <family val="3"/>
      <charset val="128"/>
      <scheme val="minor"/>
    </font>
    <font>
      <sz val="11"/>
      <color rgb="FFFF0000"/>
      <name val="游ゴシック"/>
      <family val="3"/>
      <charset val="128"/>
      <scheme val="minor"/>
    </font>
    <font>
      <sz val="11"/>
      <color rgb="FFFF0000"/>
      <name val="ＭＳ Ｐゴシック"/>
      <family val="3"/>
      <charset val="128"/>
    </font>
    <font>
      <sz val="16"/>
      <name val="游ゴシック"/>
      <family val="3"/>
      <charset val="128"/>
      <scheme val="minor"/>
    </font>
    <font>
      <b/>
      <u/>
      <sz val="18"/>
      <color theme="10"/>
      <name val="游ゴシック"/>
      <family val="3"/>
      <charset val="128"/>
      <scheme val="minor"/>
    </font>
    <font>
      <sz val="12"/>
      <name val="游ゴシック"/>
      <family val="3"/>
      <charset val="128"/>
      <scheme val="minor"/>
    </font>
    <font>
      <sz val="9"/>
      <name val="游ゴシック"/>
      <family val="3"/>
      <charset val="128"/>
      <scheme val="minor"/>
    </font>
    <font>
      <sz val="12"/>
      <color theme="1"/>
      <name val="游ゴシック"/>
      <family val="3"/>
      <charset val="128"/>
      <scheme val="minor"/>
    </font>
    <font>
      <sz val="8"/>
      <name val="游ゴシック"/>
      <family val="3"/>
      <charset val="128"/>
      <scheme val="minor"/>
    </font>
  </fonts>
  <fills count="6">
    <fill>
      <patternFill patternType="none"/>
    </fill>
    <fill>
      <patternFill patternType="gray125"/>
    </fill>
    <fill>
      <patternFill patternType="solid">
        <fgColor theme="2"/>
        <bgColor indexed="64"/>
      </patternFill>
    </fill>
    <fill>
      <patternFill patternType="solid">
        <fgColor rgb="FFE6B8B7"/>
        <bgColor indexed="64"/>
      </patternFill>
    </fill>
    <fill>
      <patternFill patternType="solid">
        <fgColor rgb="FFFABF8F"/>
        <bgColor indexed="64"/>
      </patternFill>
    </fill>
    <fill>
      <patternFill patternType="solid">
        <fgColor rgb="FFFFFF00"/>
        <bgColor indexed="64"/>
      </patternFill>
    </fill>
  </fills>
  <borders count="52">
    <border>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top/>
      <bottom style="thin">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3" fillId="0" borderId="0" applyNumberFormat="0" applyFill="0" applyBorder="0" applyAlignment="0" applyProtection="0">
      <alignment vertical="center"/>
    </xf>
    <xf numFmtId="0" fontId="2" fillId="0" borderId="0">
      <alignment vertical="center"/>
    </xf>
    <xf numFmtId="0" fontId="12" fillId="0" borderId="0"/>
    <xf numFmtId="0" fontId="1" fillId="0" borderId="0">
      <alignment vertical="center"/>
    </xf>
    <xf numFmtId="0" fontId="7" fillId="0" borderId="0"/>
  </cellStyleXfs>
  <cellXfs count="165">
    <xf numFmtId="0" fontId="0" fillId="0" borderId="0" xfId="0">
      <alignment vertical="center"/>
    </xf>
    <xf numFmtId="0" fontId="4" fillId="2" borderId="1" xfId="2" applyFont="1" applyFill="1" applyBorder="1" applyAlignment="1" applyProtection="1">
      <alignment horizontal="center" vertical="center" shrinkToFit="1"/>
      <protection hidden="1"/>
    </xf>
    <xf numFmtId="0" fontId="0" fillId="2" borderId="2" xfId="0" applyFill="1" applyBorder="1" applyProtection="1">
      <alignment vertical="center"/>
      <protection hidden="1"/>
    </xf>
    <xf numFmtId="0" fontId="4" fillId="2" borderId="2" xfId="2" applyFont="1" applyFill="1" applyBorder="1" applyAlignment="1" applyProtection="1">
      <alignment horizontal="center" vertical="center" shrinkToFit="1"/>
      <protection hidden="1"/>
    </xf>
    <xf numFmtId="0" fontId="4" fillId="2" borderId="3" xfId="2" applyFont="1" applyFill="1" applyBorder="1" applyAlignment="1" applyProtection="1">
      <alignment horizontal="center" vertical="center" shrinkToFit="1"/>
      <protection hidden="1"/>
    </xf>
    <xf numFmtId="0" fontId="4" fillId="2" borderId="4" xfId="2" applyFont="1" applyFill="1" applyBorder="1" applyAlignment="1" applyProtection="1">
      <alignment horizontal="center" vertical="center" shrinkToFit="1"/>
      <protection hidden="1"/>
    </xf>
    <xf numFmtId="0" fontId="4" fillId="2" borderId="5" xfId="2" applyFont="1" applyFill="1" applyBorder="1" applyAlignment="1" applyProtection="1">
      <alignment horizontal="center" vertical="center" shrinkToFit="1"/>
      <protection hidden="1"/>
    </xf>
    <xf numFmtId="0" fontId="4" fillId="2" borderId="6" xfId="2" applyFont="1" applyFill="1" applyBorder="1" applyAlignment="1" applyProtection="1">
      <alignment horizontal="center" vertical="center" shrinkToFit="1"/>
      <protection hidden="1"/>
    </xf>
    <xf numFmtId="176" fontId="4" fillId="2" borderId="6" xfId="2" applyNumberFormat="1" applyFont="1" applyFill="1" applyBorder="1" applyAlignment="1" applyProtection="1">
      <alignment horizontal="center" vertical="center" shrinkToFit="1"/>
      <protection hidden="1"/>
    </xf>
    <xf numFmtId="176" fontId="4" fillId="2" borderId="6" xfId="2" applyNumberFormat="1" applyFont="1" applyFill="1" applyBorder="1" applyAlignment="1" applyProtection="1">
      <alignment horizontal="center" vertical="center" wrapText="1" shrinkToFit="1"/>
      <protection hidden="1"/>
    </xf>
    <xf numFmtId="176" fontId="4" fillId="2" borderId="1" xfId="2" applyNumberFormat="1" applyFont="1" applyFill="1" applyBorder="1" applyAlignment="1" applyProtection="1">
      <alignment horizontal="center" vertical="center" wrapText="1" shrinkToFit="1"/>
      <protection hidden="1"/>
    </xf>
    <xf numFmtId="0" fontId="8" fillId="2" borderId="7" xfId="0" applyFont="1" applyFill="1" applyBorder="1" applyAlignment="1" applyProtection="1">
      <alignment horizontal="distributed" vertical="center" wrapText="1" justifyLastLine="1"/>
      <protection hidden="1"/>
    </xf>
    <xf numFmtId="0" fontId="10" fillId="2" borderId="5" xfId="0" applyFont="1" applyFill="1" applyBorder="1" applyAlignment="1" applyProtection="1">
      <alignment horizontal="distributed" vertical="center" justifyLastLine="1"/>
      <protection hidden="1"/>
    </xf>
    <xf numFmtId="0" fontId="8" fillId="2" borderId="8" xfId="0" applyFont="1" applyFill="1" applyBorder="1" applyAlignment="1" applyProtection="1">
      <alignment horizontal="distributed" vertical="center" justifyLastLine="1"/>
      <protection hidden="1"/>
    </xf>
    <xf numFmtId="0" fontId="10" fillId="2" borderId="4" xfId="0" applyFont="1" applyFill="1" applyBorder="1" applyAlignment="1" applyProtection="1">
      <alignment horizontal="distributed" vertical="center" justifyLastLine="1"/>
      <protection hidden="1"/>
    </xf>
    <xf numFmtId="0" fontId="4" fillId="2" borderId="0" xfId="2" applyFont="1" applyFill="1" applyAlignment="1" applyProtection="1">
      <alignment horizontal="center" vertical="center" shrinkToFit="1"/>
      <protection hidden="1"/>
    </xf>
    <xf numFmtId="0" fontId="0" fillId="0" borderId="9" xfId="0" applyBorder="1" applyProtection="1">
      <alignment vertical="center"/>
      <protection hidden="1"/>
    </xf>
    <xf numFmtId="0" fontId="11" fillId="3" borderId="10" xfId="0" applyFont="1" applyFill="1" applyBorder="1" applyAlignment="1" applyProtection="1">
      <alignment vertical="center" shrinkToFit="1"/>
      <protection hidden="1"/>
    </xf>
    <xf numFmtId="57" fontId="11" fillId="0" borderId="11" xfId="0" applyNumberFormat="1" applyFont="1" applyBorder="1" applyAlignment="1" applyProtection="1">
      <alignment horizontal="center" vertical="center"/>
      <protection hidden="1"/>
    </xf>
    <xf numFmtId="177" fontId="11" fillId="0" borderId="11" xfId="0" applyNumberFormat="1" applyFont="1" applyBorder="1" applyAlignment="1" applyProtection="1">
      <alignment horizontal="center" vertical="center"/>
      <protection hidden="1"/>
    </xf>
    <xf numFmtId="177" fontId="11" fillId="0" borderId="11" xfId="3" applyNumberFormat="1" applyFont="1" applyBorder="1" applyAlignment="1" applyProtection="1">
      <alignment horizontal="center" vertical="center"/>
      <protection hidden="1"/>
    </xf>
    <xf numFmtId="0" fontId="11" fillId="3" borderId="11" xfId="0" applyFont="1" applyFill="1" applyBorder="1" applyAlignment="1" applyProtection="1">
      <alignment vertical="center" shrinkToFit="1"/>
      <protection hidden="1"/>
    </xf>
    <xf numFmtId="0" fontId="4" fillId="0" borderId="6" xfId="4" applyFont="1" applyBorder="1" applyAlignment="1" applyProtection="1">
      <alignment horizontal="left" vertical="center" shrinkToFit="1"/>
      <protection hidden="1"/>
    </xf>
    <xf numFmtId="0" fontId="4" fillId="0" borderId="6" xfId="4" applyFont="1" applyBorder="1" applyAlignment="1" applyProtection="1">
      <alignment horizontal="left" vertical="center" wrapText="1" shrinkToFit="1"/>
      <protection hidden="1"/>
    </xf>
    <xf numFmtId="0" fontId="4" fillId="0" borderId="6" xfId="2" applyFont="1" applyBorder="1" applyAlignment="1" applyProtection="1">
      <alignment horizontal="left" vertical="center" wrapText="1" shrinkToFit="1"/>
      <protection hidden="1"/>
    </xf>
    <xf numFmtId="0" fontId="4" fillId="0" borderId="6" xfId="2" applyFont="1" applyBorder="1" applyAlignment="1" applyProtection="1">
      <alignment vertical="center" shrinkToFit="1"/>
      <protection hidden="1"/>
    </xf>
    <xf numFmtId="0" fontId="4" fillId="0" borderId="6" xfId="2" applyFont="1" applyBorder="1" applyAlignment="1" applyProtection="1">
      <alignment shrinkToFit="1"/>
      <protection hidden="1"/>
    </xf>
    <xf numFmtId="0" fontId="4" fillId="0" borderId="12" xfId="2" applyFont="1" applyBorder="1" applyAlignment="1" applyProtection="1">
      <alignment shrinkToFit="1"/>
      <protection hidden="1"/>
    </xf>
    <xf numFmtId="178" fontId="13" fillId="0" borderId="13" xfId="0" applyNumberFormat="1" applyFont="1" applyBorder="1" applyProtection="1">
      <alignment vertical="center"/>
      <protection hidden="1"/>
    </xf>
    <xf numFmtId="179" fontId="13" fillId="0" borderId="14" xfId="0" applyNumberFormat="1" applyFont="1" applyBorder="1" applyProtection="1">
      <alignment vertical="center"/>
      <protection hidden="1"/>
    </xf>
    <xf numFmtId="37" fontId="13" fillId="0" borderId="14" xfId="0" quotePrefix="1" applyNumberFormat="1" applyFont="1" applyBorder="1" applyProtection="1">
      <alignment vertical="center"/>
      <protection hidden="1"/>
    </xf>
    <xf numFmtId="180" fontId="13" fillId="0" borderId="14" xfId="0" applyNumberFormat="1" applyFont="1" applyBorder="1" applyProtection="1">
      <alignment vertical="center"/>
      <protection hidden="1"/>
    </xf>
    <xf numFmtId="0" fontId="4" fillId="0" borderId="0" xfId="2" applyFont="1" applyAlignment="1" applyProtection="1">
      <alignment vertical="center" shrinkToFit="1"/>
      <protection hidden="1"/>
    </xf>
    <xf numFmtId="177" fontId="11" fillId="0" borderId="10" xfId="3" applyNumberFormat="1" applyFont="1" applyBorder="1" applyAlignment="1" applyProtection="1">
      <alignment horizontal="center" vertical="center"/>
      <protection hidden="1"/>
    </xf>
    <xf numFmtId="0" fontId="14" fillId="0" borderId="6" xfId="2" applyFont="1" applyBorder="1" applyAlignment="1" applyProtection="1">
      <alignment horizontal="left" vertical="center" wrapText="1" shrinkToFit="1"/>
      <protection hidden="1"/>
    </xf>
    <xf numFmtId="0" fontId="4" fillId="0" borderId="1" xfId="2" applyFont="1" applyBorder="1" applyAlignment="1" applyProtection="1">
      <alignment shrinkToFit="1"/>
      <protection hidden="1"/>
    </xf>
    <xf numFmtId="0" fontId="11" fillId="4" borderId="11" xfId="0" applyFont="1" applyFill="1" applyBorder="1" applyAlignment="1" applyProtection="1">
      <alignment vertical="center" shrinkToFit="1"/>
      <protection hidden="1"/>
    </xf>
    <xf numFmtId="0" fontId="4" fillId="0" borderId="6" xfId="4" applyFont="1" applyBorder="1" applyAlignment="1" applyProtection="1">
      <alignment vertical="center" shrinkToFit="1"/>
      <protection hidden="1"/>
    </xf>
    <xf numFmtId="0" fontId="4" fillId="0" borderId="6" xfId="4" applyFont="1" applyBorder="1" applyAlignment="1" applyProtection="1">
      <alignment vertical="center" wrapText="1" shrinkToFit="1"/>
      <protection hidden="1"/>
    </xf>
    <xf numFmtId="180" fontId="8" fillId="0" borderId="14" xfId="0" applyNumberFormat="1" applyFont="1" applyBorder="1" applyProtection="1">
      <alignment vertical="center"/>
      <protection hidden="1"/>
    </xf>
    <xf numFmtId="177" fontId="15" fillId="0" borderId="11" xfId="0" applyNumberFormat="1" applyFont="1" applyBorder="1" applyAlignment="1" applyProtection="1">
      <alignment horizontal="center" vertical="center"/>
      <protection hidden="1"/>
    </xf>
    <xf numFmtId="0" fontId="4" fillId="0" borderId="0" xfId="2" applyFont="1" applyAlignment="1" applyProtection="1">
      <alignment horizontal="center" vertical="center" shrinkToFit="1"/>
      <protection hidden="1"/>
    </xf>
    <xf numFmtId="0" fontId="16" fillId="0" borderId="6" xfId="5" applyFont="1" applyBorder="1" applyAlignment="1" applyProtection="1">
      <alignment horizontal="left" vertical="center" shrinkToFit="1"/>
      <protection hidden="1"/>
    </xf>
    <xf numFmtId="0" fontId="16" fillId="0" borderId="6" xfId="5" applyFont="1" applyBorder="1" applyAlignment="1" applyProtection="1">
      <alignment horizontal="left" vertical="center" wrapText="1" shrinkToFit="1"/>
      <protection hidden="1"/>
    </xf>
    <xf numFmtId="0" fontId="16" fillId="0" borderId="1" xfId="5" applyFont="1" applyBorder="1" applyAlignment="1" applyProtection="1">
      <alignment horizontal="left" vertical="center" shrinkToFit="1"/>
      <protection hidden="1"/>
    </xf>
    <xf numFmtId="0" fontId="4" fillId="0" borderId="1" xfId="2" applyFont="1" applyBorder="1" applyAlignment="1" applyProtection="1">
      <alignment vertical="center" shrinkToFit="1"/>
      <protection hidden="1"/>
    </xf>
    <xf numFmtId="0" fontId="4" fillId="0" borderId="6" xfId="2" applyFont="1" applyBorder="1" applyAlignment="1" applyProtection="1">
      <alignment horizontal="left" shrinkToFit="1"/>
      <protection hidden="1"/>
    </xf>
    <xf numFmtId="0" fontId="4" fillId="0" borderId="1" xfId="2" applyFont="1" applyBorder="1" applyAlignment="1" applyProtection="1">
      <alignment horizontal="left" shrinkToFit="1"/>
      <protection hidden="1"/>
    </xf>
    <xf numFmtId="0" fontId="4" fillId="0" borderId="5" xfId="2" applyFont="1" applyBorder="1" applyAlignment="1" applyProtection="1">
      <alignment vertical="center" shrinkToFit="1"/>
      <protection hidden="1"/>
    </xf>
    <xf numFmtId="57" fontId="11" fillId="0" borderId="15" xfId="0" applyNumberFormat="1" applyFont="1" applyBorder="1" applyAlignment="1" applyProtection="1">
      <alignment horizontal="center" vertical="center"/>
      <protection hidden="1"/>
    </xf>
    <xf numFmtId="177" fontId="11" fillId="0" borderId="15" xfId="0" applyNumberFormat="1" applyFont="1" applyBorder="1" applyAlignment="1" applyProtection="1">
      <alignment horizontal="center" vertical="center"/>
      <protection hidden="1"/>
    </xf>
    <xf numFmtId="0" fontId="11" fillId="4" borderId="15" xfId="0" applyFont="1" applyFill="1" applyBorder="1" applyAlignment="1" applyProtection="1">
      <alignment vertical="center" shrinkToFit="1"/>
      <protection hidden="1"/>
    </xf>
    <xf numFmtId="178" fontId="13" fillId="0" borderId="16" xfId="0" applyNumberFormat="1" applyFont="1" applyBorder="1" applyProtection="1">
      <alignment vertical="center"/>
      <protection hidden="1"/>
    </xf>
    <xf numFmtId="179" fontId="13" fillId="0" borderId="17" xfId="0" applyNumberFormat="1" applyFont="1" applyBorder="1" applyProtection="1">
      <alignment vertical="center"/>
      <protection hidden="1"/>
    </xf>
    <xf numFmtId="37" fontId="13" fillId="0" borderId="17" xfId="0" quotePrefix="1" applyNumberFormat="1" applyFont="1" applyBorder="1" applyProtection="1">
      <alignment vertical="center"/>
      <protection hidden="1"/>
    </xf>
    <xf numFmtId="180" fontId="13" fillId="0" borderId="17" xfId="0" applyNumberFormat="1" applyFont="1" applyBorder="1" applyProtection="1">
      <alignment vertical="center"/>
      <protection hidden="1"/>
    </xf>
    <xf numFmtId="0" fontId="0" fillId="0" borderId="0" xfId="0" applyProtection="1">
      <alignment vertical="center"/>
      <protection hidden="1"/>
    </xf>
    <xf numFmtId="179" fontId="4" fillId="0" borderId="0" xfId="2" applyNumberFormat="1" applyFont="1" applyAlignment="1" applyProtection="1">
      <alignment vertical="center" shrinkToFit="1"/>
      <protection hidden="1"/>
    </xf>
    <xf numFmtId="180" fontId="4" fillId="0" borderId="0" xfId="2" applyNumberFormat="1" applyFont="1" applyAlignment="1" applyProtection="1">
      <alignment vertical="center" shrinkToFit="1"/>
      <protection hidden="1"/>
    </xf>
    <xf numFmtId="0" fontId="17" fillId="0" borderId="0" xfId="0" applyFont="1" applyProtection="1">
      <alignment vertical="center"/>
      <protection hidden="1"/>
    </xf>
    <xf numFmtId="0" fontId="18" fillId="0" borderId="0" xfId="0" applyFont="1" applyProtection="1">
      <alignment vertical="center"/>
      <protection hidden="1"/>
    </xf>
    <xf numFmtId="0" fontId="17" fillId="0" borderId="0" xfId="0" applyFont="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6" xfId="0" applyFont="1" applyBorder="1" applyAlignment="1" applyProtection="1">
      <alignment horizontal="left" vertical="center"/>
      <protection hidden="1"/>
    </xf>
    <xf numFmtId="0" fontId="18" fillId="5" borderId="6" xfId="0" applyFont="1" applyFill="1" applyBorder="1" applyAlignment="1" applyProtection="1">
      <alignment horizontal="center" vertical="center"/>
      <protection hidden="1"/>
    </xf>
    <xf numFmtId="0" fontId="0" fillId="0" borderId="6" xfId="0" applyBorder="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left" vertical="center"/>
      <protection hidden="1"/>
    </xf>
    <xf numFmtId="0" fontId="21" fillId="0" borderId="0" xfId="0" applyFont="1" applyAlignment="1" applyProtection="1">
      <alignment horizontal="center" vertical="center"/>
      <protection hidden="1"/>
    </xf>
    <xf numFmtId="0" fontId="21" fillId="0" borderId="0" xfId="0" applyFont="1" applyProtection="1">
      <alignment vertical="center"/>
      <protection hidden="1"/>
    </xf>
    <xf numFmtId="0" fontId="22" fillId="0" borderId="18" xfId="1" applyFont="1" applyBorder="1" applyAlignment="1" applyProtection="1">
      <alignment horizontal="center" vertical="center"/>
      <protection hidden="1"/>
    </xf>
    <xf numFmtId="0" fontId="22" fillId="0" borderId="19" xfId="1" applyFont="1" applyBorder="1" applyAlignment="1" applyProtection="1">
      <alignment horizontal="center" vertical="center"/>
      <protection hidden="1"/>
    </xf>
    <xf numFmtId="0" fontId="22" fillId="0" borderId="20" xfId="1" applyFont="1" applyBorder="1" applyAlignment="1" applyProtection="1">
      <alignment horizontal="center" vertical="center"/>
      <protection hidden="1"/>
    </xf>
    <xf numFmtId="0" fontId="23" fillId="0" borderId="21" xfId="0" applyFont="1" applyBorder="1" applyAlignment="1" applyProtection="1">
      <alignment horizontal="distributed" vertical="center"/>
      <protection hidden="1"/>
    </xf>
    <xf numFmtId="0" fontId="23" fillId="0" borderId="22" xfId="0" applyFont="1" applyBorder="1" applyAlignment="1" applyProtection="1">
      <alignment horizontal="distributed" vertical="center"/>
      <protection hidden="1"/>
    </xf>
    <xf numFmtId="181" fontId="23" fillId="0" borderId="23" xfId="0" applyNumberFormat="1" applyFont="1" applyBorder="1" applyAlignment="1" applyProtection="1">
      <alignment horizontal="center" vertical="center"/>
      <protection hidden="1"/>
    </xf>
    <xf numFmtId="181" fontId="23" fillId="0" borderId="24" xfId="0" applyNumberFormat="1" applyFont="1" applyBorder="1" applyAlignment="1" applyProtection="1">
      <alignment horizontal="center" vertical="center"/>
      <protection hidden="1"/>
    </xf>
    <xf numFmtId="181" fontId="23" fillId="0" borderId="25" xfId="0" applyNumberFormat="1" applyFont="1" applyBorder="1" applyAlignment="1" applyProtection="1">
      <alignment horizontal="center" vertical="center"/>
      <protection hidden="1"/>
    </xf>
    <xf numFmtId="0" fontId="23" fillId="0" borderId="5" xfId="0" applyFont="1" applyBorder="1" applyAlignment="1" applyProtection="1">
      <alignment horizontal="distributed" vertical="center"/>
      <protection hidden="1"/>
    </xf>
    <xf numFmtId="0" fontId="23" fillId="0" borderId="6" xfId="0" applyFont="1" applyBorder="1" applyAlignment="1" applyProtection="1">
      <alignment horizontal="distributed" vertical="center"/>
      <protection hidden="1"/>
    </xf>
    <xf numFmtId="58" fontId="23" fillId="0" borderId="1" xfId="0" applyNumberFormat="1"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0" borderId="8" xfId="0" applyFont="1" applyBorder="1" applyAlignment="1" applyProtection="1">
      <alignment horizontal="center" vertical="center"/>
      <protection hidden="1"/>
    </xf>
    <xf numFmtId="0" fontId="23" fillId="0" borderId="26" xfId="0" applyFont="1" applyBorder="1" applyAlignment="1" applyProtection="1">
      <alignment horizontal="distributed" vertical="center"/>
      <protection hidden="1"/>
    </xf>
    <xf numFmtId="0" fontId="23" fillId="0" borderId="27" xfId="0" applyFont="1" applyBorder="1" applyAlignment="1" applyProtection="1">
      <alignment horizontal="distributed" vertical="center"/>
      <protection hidden="1"/>
    </xf>
    <xf numFmtId="0" fontId="23" fillId="0" borderId="28" xfId="0" applyFont="1" applyBorder="1" applyAlignment="1" applyProtection="1">
      <alignment horizontal="distributed" vertical="center"/>
      <protection hidden="1"/>
    </xf>
    <xf numFmtId="0" fontId="23" fillId="0" borderId="1" xfId="0" applyFont="1" applyBorder="1" applyAlignment="1" applyProtection="1">
      <alignment horizontal="center" vertical="center"/>
      <protection hidden="1"/>
    </xf>
    <xf numFmtId="0" fontId="23" fillId="0" borderId="29" xfId="0" applyFont="1" applyBorder="1" applyAlignment="1" applyProtection="1">
      <alignment horizontal="distributed" vertical="center"/>
      <protection hidden="1"/>
    </xf>
    <xf numFmtId="0" fontId="23" fillId="0" borderId="0" xfId="0" applyFont="1" applyAlignment="1" applyProtection="1">
      <alignment horizontal="distributed" vertical="center"/>
      <protection hidden="1"/>
    </xf>
    <xf numFmtId="0" fontId="23" fillId="0" borderId="30" xfId="0" applyFont="1" applyBorder="1" applyAlignment="1" applyProtection="1">
      <alignment horizontal="distributed" vertical="center"/>
      <protection hidden="1"/>
    </xf>
    <xf numFmtId="0" fontId="23" fillId="0" borderId="26" xfId="0" applyFont="1" applyBorder="1" applyAlignment="1" applyProtection="1">
      <alignment horizontal="distributed" vertical="center" wrapText="1"/>
      <protection hidden="1"/>
    </xf>
    <xf numFmtId="0" fontId="23" fillId="0" borderId="27" xfId="0" applyFont="1" applyBorder="1" applyAlignment="1" applyProtection="1">
      <alignment horizontal="distributed" vertical="center" wrapText="1"/>
      <protection hidden="1"/>
    </xf>
    <xf numFmtId="0" fontId="23" fillId="0" borderId="28" xfId="0" applyFont="1" applyBorder="1" applyAlignment="1" applyProtection="1">
      <alignment horizontal="distributed" vertical="center" wrapText="1"/>
      <protection hidden="1"/>
    </xf>
    <xf numFmtId="0" fontId="23" fillId="0" borderId="6" xfId="0" applyFont="1" applyBorder="1" applyAlignment="1" applyProtection="1">
      <alignment horizontal="center" vertical="center"/>
      <protection hidden="1"/>
    </xf>
    <xf numFmtId="0" fontId="23" fillId="0" borderId="7" xfId="0" applyFont="1" applyBorder="1" applyAlignment="1" applyProtection="1">
      <alignment horizontal="center" vertical="center"/>
      <protection hidden="1"/>
    </xf>
    <xf numFmtId="0" fontId="23" fillId="0" borderId="29" xfId="0" applyFont="1" applyBorder="1" applyAlignment="1" applyProtection="1">
      <alignment horizontal="distributed" vertical="center" wrapText="1"/>
      <protection hidden="1"/>
    </xf>
    <xf numFmtId="0" fontId="23" fillId="0" borderId="0" xfId="0" applyFont="1" applyAlignment="1" applyProtection="1">
      <alignment horizontal="distributed" vertical="center" wrapText="1"/>
      <protection hidden="1"/>
    </xf>
    <xf numFmtId="0" fontId="23" fillId="0" borderId="30" xfId="0" applyFont="1" applyBorder="1" applyAlignment="1" applyProtection="1">
      <alignment horizontal="distributed" vertical="center" wrapText="1"/>
      <protection hidden="1"/>
    </xf>
    <xf numFmtId="0" fontId="23" fillId="0" borderId="6" xfId="0" applyFont="1" applyBorder="1" applyAlignment="1" applyProtection="1">
      <alignment horizontal="left" vertical="center" wrapText="1"/>
      <protection hidden="1"/>
    </xf>
    <xf numFmtId="0" fontId="23" fillId="0" borderId="7" xfId="0" applyFont="1" applyBorder="1" applyAlignment="1" applyProtection="1">
      <alignment horizontal="left" vertical="center" wrapText="1"/>
      <protection hidden="1"/>
    </xf>
    <xf numFmtId="0" fontId="23" fillId="0" borderId="16" xfId="0" applyFont="1" applyBorder="1" applyAlignment="1" applyProtection="1">
      <alignment horizontal="distributed" vertical="center" wrapText="1"/>
      <protection hidden="1"/>
    </xf>
    <xf numFmtId="0" fontId="23" fillId="0" borderId="31" xfId="0" applyFont="1" applyBorder="1" applyAlignment="1" applyProtection="1">
      <alignment horizontal="distributed" vertical="center" wrapText="1"/>
      <protection hidden="1"/>
    </xf>
    <xf numFmtId="0" fontId="23" fillId="0" borderId="32" xfId="0" applyFont="1" applyBorder="1" applyAlignment="1" applyProtection="1">
      <alignment horizontal="distributed" vertical="center" wrapText="1"/>
      <protection hidden="1"/>
    </xf>
    <xf numFmtId="0" fontId="24" fillId="0" borderId="6" xfId="0" applyFont="1" applyBorder="1" applyAlignment="1" applyProtection="1">
      <alignment horizontal="left" vertical="center" wrapText="1"/>
      <protection hidden="1"/>
    </xf>
    <xf numFmtId="0" fontId="25" fillId="0" borderId="5" xfId="0" applyFont="1" applyBorder="1" applyAlignment="1" applyProtection="1">
      <alignment horizontal="distributed" vertical="center" wrapText="1"/>
      <protection hidden="1"/>
    </xf>
    <xf numFmtId="0" fontId="25" fillId="0" borderId="6" xfId="0" applyFont="1" applyBorder="1" applyAlignment="1" applyProtection="1">
      <alignment horizontal="distributed" vertical="center" wrapText="1"/>
      <protection hidden="1"/>
    </xf>
    <xf numFmtId="0" fontId="23" fillId="0" borderId="33" xfId="0" applyFont="1" applyBorder="1" applyAlignment="1" applyProtection="1">
      <alignment horizontal="center" vertical="center"/>
      <protection hidden="1"/>
    </xf>
    <xf numFmtId="0" fontId="23" fillId="0" borderId="28"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23" fillId="0" borderId="33" xfId="0" applyFont="1" applyBorder="1" applyAlignment="1" applyProtection="1">
      <alignment horizontal="distributed" vertical="center"/>
      <protection hidden="1"/>
    </xf>
    <xf numFmtId="0" fontId="18" fillId="0" borderId="6"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0" fontId="23" fillId="0" borderId="9" xfId="0" applyFont="1" applyBorder="1" applyAlignment="1" applyProtection="1">
      <alignment horizontal="distributed" vertical="center"/>
      <protection hidden="1"/>
    </xf>
    <xf numFmtId="0" fontId="23" fillId="0" borderId="35" xfId="0" applyFont="1" applyBorder="1" applyAlignment="1" applyProtection="1">
      <alignment horizontal="center" vertical="center" shrinkToFit="1"/>
      <protection hidden="1"/>
    </xf>
    <xf numFmtId="0" fontId="18" fillId="0" borderId="35" xfId="0" applyFont="1" applyBorder="1" applyAlignment="1" applyProtection="1">
      <alignment vertical="center" shrinkToFit="1"/>
      <protection hidden="1"/>
    </xf>
    <xf numFmtId="0" fontId="23" fillId="0" borderId="36" xfId="0" applyFont="1" applyBorder="1" applyAlignment="1" applyProtection="1">
      <alignment horizontal="center" vertical="center" shrinkToFit="1"/>
      <protection hidden="1"/>
    </xf>
    <xf numFmtId="0" fontId="23" fillId="0" borderId="16" xfId="0" applyFont="1" applyBorder="1" applyAlignment="1" applyProtection="1">
      <alignment horizontal="distributed" vertical="center"/>
      <protection hidden="1"/>
    </xf>
    <xf numFmtId="0" fontId="23" fillId="0" borderId="32" xfId="0" applyFont="1" applyBorder="1" applyAlignment="1" applyProtection="1">
      <alignment horizontal="distributed" vertical="center"/>
      <protection hidden="1"/>
    </xf>
    <xf numFmtId="0" fontId="23" fillId="0" borderId="12" xfId="0" applyFont="1" applyBorder="1" applyAlignment="1" applyProtection="1">
      <alignment horizontal="distributed" vertical="center"/>
      <protection hidden="1"/>
    </xf>
    <xf numFmtId="0" fontId="26" fillId="0" borderId="35" xfId="0" applyFont="1" applyBorder="1" applyAlignment="1" applyProtection="1">
      <alignment horizontal="center" vertical="center" shrinkToFit="1"/>
      <protection hidden="1"/>
    </xf>
    <xf numFmtId="0" fontId="26" fillId="0" borderId="36" xfId="0" applyFont="1" applyBorder="1" applyAlignment="1" applyProtection="1">
      <alignment horizontal="center" vertical="center" shrinkToFit="1"/>
      <protection hidden="1"/>
    </xf>
    <xf numFmtId="0" fontId="23" fillId="0" borderId="26" xfId="0" applyFont="1" applyBorder="1" applyAlignment="1" applyProtection="1">
      <alignment horizontal="center" vertical="center" shrinkToFit="1"/>
      <protection hidden="1"/>
    </xf>
    <xf numFmtId="0" fontId="23" fillId="0" borderId="28" xfId="0" applyFont="1" applyBorder="1" applyAlignment="1" applyProtection="1">
      <alignment horizontal="center" vertical="center" shrinkToFit="1"/>
      <protection hidden="1"/>
    </xf>
    <xf numFmtId="182" fontId="23" fillId="0" borderId="33" xfId="0" applyNumberFormat="1" applyFont="1" applyBorder="1" applyAlignment="1" applyProtection="1">
      <alignment horizontal="left" vertical="center" wrapText="1"/>
      <protection hidden="1"/>
    </xf>
    <xf numFmtId="182" fontId="23" fillId="0" borderId="28" xfId="0" applyNumberFormat="1" applyFont="1" applyBorder="1" applyAlignment="1" applyProtection="1">
      <alignment horizontal="left" vertical="center" wrapText="1"/>
      <protection hidden="1"/>
    </xf>
    <xf numFmtId="182" fontId="23" fillId="0" borderId="37" xfId="0" applyNumberFormat="1" applyFont="1" applyBorder="1" applyAlignment="1" applyProtection="1">
      <alignment horizontal="center" vertical="center"/>
      <protection hidden="1"/>
    </xf>
    <xf numFmtId="182" fontId="23" fillId="0" borderId="38" xfId="0" applyNumberFormat="1" applyFont="1" applyBorder="1" applyAlignment="1" applyProtection="1">
      <alignment horizontal="center" vertical="center"/>
      <protection hidden="1"/>
    </xf>
    <xf numFmtId="0" fontId="23" fillId="0" borderId="29" xfId="0" applyFont="1" applyBorder="1" applyAlignment="1" applyProtection="1">
      <alignment horizontal="center" vertical="center" shrinkToFit="1"/>
      <protection hidden="1"/>
    </xf>
    <xf numFmtId="0" fontId="23" fillId="0" borderId="30" xfId="0" applyFont="1" applyBorder="1" applyAlignment="1" applyProtection="1">
      <alignment horizontal="center" vertical="center" shrinkToFit="1"/>
      <protection hidden="1"/>
    </xf>
    <xf numFmtId="182" fontId="23" fillId="0" borderId="9" xfId="0" applyNumberFormat="1" applyFont="1" applyBorder="1" applyAlignment="1" applyProtection="1">
      <alignment horizontal="left" vertical="center" wrapText="1"/>
      <protection hidden="1"/>
    </xf>
    <xf numFmtId="182" fontId="23" fillId="0" borderId="30" xfId="0" applyNumberFormat="1" applyFont="1" applyBorder="1" applyAlignment="1" applyProtection="1">
      <alignment horizontal="left" vertical="center" wrapText="1"/>
      <protection hidden="1"/>
    </xf>
    <xf numFmtId="182" fontId="23" fillId="0" borderId="35" xfId="0" applyNumberFormat="1" applyFont="1" applyBorder="1" applyAlignment="1" applyProtection="1">
      <alignment horizontal="center" vertical="center"/>
      <protection hidden="1"/>
    </xf>
    <xf numFmtId="182" fontId="23" fillId="0" borderId="30" xfId="0" applyNumberFormat="1" applyFont="1" applyBorder="1" applyAlignment="1" applyProtection="1">
      <alignment horizontal="center" vertical="center"/>
      <protection hidden="1"/>
    </xf>
    <xf numFmtId="182" fontId="23" fillId="0" borderId="36" xfId="0" applyNumberFormat="1" applyFont="1" applyBorder="1" applyAlignment="1" applyProtection="1">
      <alignment horizontal="center" vertical="center"/>
      <protection hidden="1"/>
    </xf>
    <xf numFmtId="182" fontId="23" fillId="0" borderId="12" xfId="0" applyNumberFormat="1" applyFont="1" applyBorder="1" applyAlignment="1" applyProtection="1">
      <alignment horizontal="left" vertical="center" wrapText="1"/>
      <protection hidden="1"/>
    </xf>
    <xf numFmtId="182" fontId="23" fillId="0" borderId="32" xfId="0" applyNumberFormat="1" applyFont="1" applyBorder="1" applyAlignment="1" applyProtection="1">
      <alignment horizontal="left" vertical="center" wrapText="1"/>
      <protection hidden="1"/>
    </xf>
    <xf numFmtId="180" fontId="18" fillId="0" borderId="35" xfId="0" applyNumberFormat="1" applyFont="1" applyBorder="1" applyAlignment="1" applyProtection="1">
      <alignment horizontal="center" vertical="center"/>
      <protection hidden="1"/>
    </xf>
    <xf numFmtId="180" fontId="18" fillId="0" borderId="0" xfId="0" applyNumberFormat="1" applyFont="1" applyAlignment="1" applyProtection="1">
      <alignment horizontal="center" vertical="center"/>
      <protection hidden="1"/>
    </xf>
    <xf numFmtId="180" fontId="23" fillId="0" borderId="39" xfId="0" applyNumberFormat="1" applyFont="1" applyBorder="1" applyAlignment="1" applyProtection="1">
      <alignment horizontal="center" vertical="center"/>
      <protection hidden="1"/>
    </xf>
    <xf numFmtId="180" fontId="18" fillId="0" borderId="40" xfId="0" applyNumberFormat="1" applyFont="1" applyBorder="1" applyAlignment="1" applyProtection="1">
      <alignment horizontal="center" vertical="center"/>
      <protection hidden="1"/>
    </xf>
    <xf numFmtId="0" fontId="23" fillId="0" borderId="16" xfId="0" applyFont="1" applyBorder="1" applyAlignment="1" applyProtection="1">
      <alignment horizontal="center" vertical="center" shrinkToFit="1"/>
      <protection hidden="1"/>
    </xf>
    <xf numFmtId="0" fontId="23" fillId="0" borderId="32" xfId="0" applyFont="1" applyBorder="1" applyAlignment="1" applyProtection="1">
      <alignment horizontal="center" vertical="center" shrinkToFit="1"/>
      <protection hidden="1"/>
    </xf>
    <xf numFmtId="0" fontId="23" fillId="0" borderId="26" xfId="0" applyFont="1" applyBorder="1" applyAlignment="1" applyProtection="1">
      <alignment horizontal="center" vertical="center"/>
      <protection hidden="1"/>
    </xf>
    <xf numFmtId="0" fontId="23" fillId="0" borderId="29" xfId="0" applyFont="1" applyBorder="1" applyAlignment="1" applyProtection="1">
      <alignment horizontal="center" vertical="center"/>
      <protection hidden="1"/>
    </xf>
    <xf numFmtId="0" fontId="23" fillId="0" borderId="30" xfId="0" applyFont="1" applyBorder="1" applyAlignment="1" applyProtection="1">
      <alignment horizontal="center" vertical="center"/>
      <protection hidden="1"/>
    </xf>
    <xf numFmtId="0" fontId="23" fillId="0" borderId="16" xfId="0" applyFont="1" applyBorder="1" applyAlignment="1" applyProtection="1">
      <alignment horizontal="center" vertical="center"/>
      <protection hidden="1"/>
    </xf>
    <xf numFmtId="0" fontId="23" fillId="0" borderId="32" xfId="0" applyFont="1" applyBorder="1" applyAlignment="1" applyProtection="1">
      <alignment horizontal="center" vertical="center"/>
      <protection hidden="1"/>
    </xf>
    <xf numFmtId="0" fontId="23" fillId="0" borderId="41" xfId="0" applyFont="1" applyBorder="1" applyAlignment="1" applyProtection="1">
      <alignment horizontal="center" vertical="center"/>
      <protection hidden="1"/>
    </xf>
    <xf numFmtId="0" fontId="23" fillId="0" borderId="42" xfId="0" applyFont="1" applyBorder="1" applyAlignment="1" applyProtection="1">
      <alignment horizontal="center" vertical="center"/>
      <protection hidden="1"/>
    </xf>
    <xf numFmtId="182" fontId="23" fillId="0" borderId="33" xfId="0" applyNumberFormat="1" applyFont="1" applyBorder="1" applyAlignment="1" applyProtection="1">
      <alignment horizontal="distributed" vertical="center"/>
      <protection hidden="1"/>
    </xf>
    <xf numFmtId="182" fontId="23" fillId="0" borderId="28" xfId="0" applyNumberFormat="1" applyFont="1" applyBorder="1" applyAlignment="1" applyProtection="1">
      <alignment horizontal="distributed" vertical="center"/>
      <protection hidden="1"/>
    </xf>
    <xf numFmtId="0" fontId="23" fillId="0" borderId="43" xfId="0" applyFont="1" applyBorder="1" applyAlignment="1" applyProtection="1">
      <alignment horizontal="center" vertical="center"/>
      <protection hidden="1"/>
    </xf>
    <xf numFmtId="0" fontId="23" fillId="0" borderId="44" xfId="0" applyFont="1" applyBorder="1" applyAlignment="1" applyProtection="1">
      <alignment horizontal="center" vertical="center"/>
      <protection hidden="1"/>
    </xf>
    <xf numFmtId="182" fontId="23" fillId="0" borderId="9" xfId="0" applyNumberFormat="1" applyFont="1" applyBorder="1" applyAlignment="1" applyProtection="1">
      <alignment horizontal="distributed" vertical="center"/>
      <protection hidden="1"/>
    </xf>
    <xf numFmtId="182" fontId="23" fillId="0" borderId="30" xfId="0" applyNumberFormat="1" applyFont="1" applyBorder="1" applyAlignment="1" applyProtection="1">
      <alignment horizontal="distributed" vertical="center"/>
      <protection hidden="1"/>
    </xf>
    <xf numFmtId="0" fontId="23" fillId="0" borderId="45" xfId="0" applyFont="1" applyBorder="1" applyAlignment="1" applyProtection="1">
      <alignment horizontal="center" vertical="center"/>
      <protection hidden="1"/>
    </xf>
    <xf numFmtId="0" fontId="23" fillId="0" borderId="46" xfId="0" applyFont="1" applyBorder="1" applyAlignment="1" applyProtection="1">
      <alignment horizontal="center" vertical="center"/>
      <protection hidden="1"/>
    </xf>
    <xf numFmtId="182" fontId="23" fillId="0" borderId="47" xfId="0" applyNumberFormat="1" applyFont="1" applyBorder="1" applyAlignment="1" applyProtection="1">
      <alignment horizontal="distributed" vertical="center"/>
      <protection hidden="1"/>
    </xf>
    <xf numFmtId="182" fontId="23" fillId="0" borderId="48" xfId="0" applyNumberFormat="1" applyFont="1" applyBorder="1" applyAlignment="1" applyProtection="1">
      <alignment horizontal="distributed" vertical="center"/>
      <protection hidden="1"/>
    </xf>
    <xf numFmtId="180" fontId="18" fillId="0" borderId="49" xfId="0" applyNumberFormat="1" applyFont="1" applyBorder="1" applyAlignment="1" applyProtection="1">
      <alignment horizontal="center" vertical="center"/>
      <protection hidden="1"/>
    </xf>
    <xf numFmtId="180" fontId="18" fillId="0" borderId="50" xfId="0" applyNumberFormat="1" applyFont="1" applyBorder="1" applyAlignment="1" applyProtection="1">
      <alignment horizontal="center" vertical="center"/>
      <protection hidden="1"/>
    </xf>
    <xf numFmtId="180" fontId="23" fillId="0" borderId="49" xfId="0" applyNumberFormat="1" applyFont="1" applyBorder="1" applyAlignment="1" applyProtection="1">
      <alignment horizontal="center" vertical="center"/>
      <protection hidden="1"/>
    </xf>
    <xf numFmtId="180" fontId="18" fillId="0" borderId="51" xfId="0" applyNumberFormat="1" applyFont="1" applyBorder="1" applyAlignment="1" applyProtection="1">
      <alignment horizontal="center" vertical="center"/>
      <protection hidden="1"/>
    </xf>
    <xf numFmtId="0" fontId="23" fillId="0" borderId="0" xfId="0" applyFont="1" applyProtection="1">
      <alignment vertical="center"/>
      <protection hidden="1"/>
    </xf>
    <xf numFmtId="0" fontId="26" fillId="0" borderId="6" xfId="0" applyFont="1" applyBorder="1" applyAlignment="1" applyProtection="1">
      <alignment horizontal="left" vertical="center" wrapText="1"/>
      <protection hidden="1"/>
    </xf>
  </cellXfs>
  <cellStyles count="6">
    <cellStyle name="ハイパーリンク" xfId="1" builtinId="8"/>
    <cellStyle name="標準" xfId="0" builtinId="0"/>
    <cellStyle name="標準 3" xfId="2" xr:uid="{F1EEDD53-3B73-414A-BF19-7759C44EA367}"/>
    <cellStyle name="標準 4" xfId="4" xr:uid="{35644482-0E3F-4AD3-9780-8BB6CE0867E7}"/>
    <cellStyle name="標準_Sheet1" xfId="3" xr:uid="{2EA7B4E6-9534-43A1-AE86-9562AC40D3F7}"/>
    <cellStyle name="標準_台帳番号(患者限定)" xfId="5" xr:uid="{95D6045C-A9C0-4B3E-8431-EADB4056B8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F7024-E4E0-4DD5-A655-78C34870ADF8}">
  <sheetPr codeName="Sheet1">
    <tabColor rgb="FFFF0000"/>
    <pageSetUpPr fitToPage="1"/>
  </sheetPr>
  <dimension ref="A1:AG23"/>
  <sheetViews>
    <sheetView tabSelected="1" view="pageBreakPreview" zoomScaleNormal="85" zoomScaleSheetLayoutView="100" workbookViewId="0">
      <pane xSplit="6" ySplit="1" topLeftCell="G2" activePane="bottomRight" state="frozen"/>
      <selection activeCell="A19" sqref="A19:K36"/>
      <selection pane="topRight" activeCell="A19" sqref="A19:K36"/>
      <selection pane="bottomLeft" activeCell="A19" sqref="A19:K36"/>
      <selection pane="bottomRight" activeCell="B3" sqref="B3"/>
    </sheetView>
  </sheetViews>
  <sheetFormatPr defaultColWidth="9" defaultRowHeight="16.2" x14ac:dyDescent="0.2"/>
  <cols>
    <col min="1" max="1" width="4.88671875" style="41" customWidth="1"/>
    <col min="2" max="2" width="12.77734375" style="56" customWidth="1"/>
    <col min="3" max="5" width="9.6640625" style="41" customWidth="1"/>
    <col min="6" max="6" width="35.33203125" style="32" customWidth="1"/>
    <col min="7" max="7" width="12.77734375" style="32" customWidth="1"/>
    <col min="8" max="8" width="10.33203125" style="32" customWidth="1"/>
    <col min="9" max="9" width="35.109375" style="32" customWidth="1"/>
    <col min="10" max="10" width="15.6640625" style="32" customWidth="1"/>
    <col min="11" max="11" width="25.6640625" style="32" customWidth="1"/>
    <col min="12" max="12" width="15.6640625" style="32" customWidth="1"/>
    <col min="13" max="13" width="25.6640625" style="32" customWidth="1"/>
    <col min="14" max="14" width="15.6640625" style="32" customWidth="1"/>
    <col min="15" max="15" width="25.6640625" style="32" customWidth="1"/>
    <col min="16" max="16" width="17.6640625" style="32" customWidth="1"/>
    <col min="17" max="17" width="40.6640625" style="32" customWidth="1"/>
    <col min="18" max="18" width="19.88671875" style="32" customWidth="1"/>
    <col min="19" max="19" width="19.44140625" style="32" customWidth="1"/>
    <col min="20" max="20" width="4.6640625" style="32" customWidth="1"/>
    <col min="21" max="21" width="4.6640625" style="57" customWidth="1"/>
    <col min="22" max="22" width="4.6640625" style="32" customWidth="1"/>
    <col min="23" max="23" width="4.6640625" style="57" customWidth="1"/>
    <col min="24" max="24" width="4.6640625" style="32" customWidth="1"/>
    <col min="25" max="25" width="4.6640625" style="57" customWidth="1"/>
    <col min="26" max="26" width="4.6640625" style="32" customWidth="1"/>
    <col min="27" max="27" width="4.6640625" style="57" customWidth="1"/>
    <col min="28" max="28" width="4.6640625" style="32" customWidth="1"/>
    <col min="29" max="29" width="4.6640625" style="57" customWidth="1"/>
    <col min="30" max="32" width="4.6640625" style="32" customWidth="1"/>
    <col min="33" max="33" width="4.6640625" style="58" customWidth="1"/>
    <col min="34" max="16384" width="9" style="32"/>
  </cols>
  <sheetData>
    <row r="1" spans="1:33" s="15" customFormat="1" ht="37.5" customHeight="1" x14ac:dyDescent="0.2">
      <c r="A1" s="1" t="s">
        <v>0</v>
      </c>
      <c r="B1" s="2" t="s">
        <v>1</v>
      </c>
      <c r="C1" s="3" t="s">
        <v>2</v>
      </c>
      <c r="D1" s="3" t="s">
        <v>3</v>
      </c>
      <c r="E1" s="4" t="s">
        <v>4</v>
      </c>
      <c r="F1" s="5" t="s">
        <v>5</v>
      </c>
      <c r="G1" s="6" t="s">
        <v>6</v>
      </c>
      <c r="H1" s="7" t="s">
        <v>7</v>
      </c>
      <c r="I1" s="8" t="s">
        <v>8</v>
      </c>
      <c r="J1" s="8" t="s">
        <v>9</v>
      </c>
      <c r="K1" s="8" t="s">
        <v>10</v>
      </c>
      <c r="L1" s="8" t="s">
        <v>11</v>
      </c>
      <c r="M1" s="8" t="s">
        <v>12</v>
      </c>
      <c r="N1" s="8" t="s">
        <v>11</v>
      </c>
      <c r="O1" s="8" t="s">
        <v>12</v>
      </c>
      <c r="P1" s="8" t="s">
        <v>13</v>
      </c>
      <c r="Q1" s="8" t="s">
        <v>14</v>
      </c>
      <c r="R1" s="9" t="s">
        <v>15</v>
      </c>
      <c r="S1" s="10" t="s">
        <v>16</v>
      </c>
      <c r="T1" s="11" t="s">
        <v>17</v>
      </c>
      <c r="U1" s="12"/>
      <c r="V1" s="11" t="s">
        <v>18</v>
      </c>
      <c r="W1" s="12"/>
      <c r="X1" s="11" t="s">
        <v>19</v>
      </c>
      <c r="Y1" s="12"/>
      <c r="Z1" s="11" t="s">
        <v>20</v>
      </c>
      <c r="AA1" s="12"/>
      <c r="AB1" s="11" t="s">
        <v>21</v>
      </c>
      <c r="AC1" s="12"/>
      <c r="AD1" s="13" t="s">
        <v>22</v>
      </c>
      <c r="AE1" s="14"/>
      <c r="AF1" s="11" t="s">
        <v>23</v>
      </c>
      <c r="AG1" s="12"/>
    </row>
    <row r="2" spans="1:33" ht="30" customHeight="1" x14ac:dyDescent="0.4">
      <c r="A2" s="16">
        <v>1</v>
      </c>
      <c r="B2" s="17" t="s">
        <v>24</v>
      </c>
      <c r="C2" s="18">
        <v>38806</v>
      </c>
      <c r="D2" s="19">
        <v>44974</v>
      </c>
      <c r="E2" s="20">
        <v>46081</v>
      </c>
      <c r="F2" s="21" t="s">
        <v>25</v>
      </c>
      <c r="G2" s="22" t="s">
        <v>26</v>
      </c>
      <c r="H2" s="22" t="s">
        <v>27</v>
      </c>
      <c r="I2" s="23" t="s">
        <v>28</v>
      </c>
      <c r="J2" s="24" t="s">
        <v>29</v>
      </c>
      <c r="K2" s="24" t="s">
        <v>28</v>
      </c>
      <c r="L2" s="24"/>
      <c r="M2" s="24"/>
      <c r="N2" s="24"/>
      <c r="O2" s="24"/>
      <c r="P2" s="25" t="s">
        <v>30</v>
      </c>
      <c r="Q2" s="25" t="s">
        <v>31</v>
      </c>
      <c r="R2" s="26"/>
      <c r="S2" s="27"/>
      <c r="T2" s="28"/>
      <c r="U2" s="29"/>
      <c r="V2" s="28"/>
      <c r="W2" s="29"/>
      <c r="X2" s="28">
        <v>1</v>
      </c>
      <c r="Y2" s="29"/>
      <c r="Z2" s="28"/>
      <c r="AA2" s="29"/>
      <c r="AB2" s="28"/>
      <c r="AC2" s="29"/>
      <c r="AD2" s="28"/>
      <c r="AE2" s="30"/>
      <c r="AF2" s="28">
        <f>SUM(T2,V2,X2,Z2,AB2,AD2)</f>
        <v>1</v>
      </c>
      <c r="AG2" s="31">
        <f>SUM(U2,W2,Y2,AA2,AC2)</f>
        <v>0</v>
      </c>
    </row>
    <row r="3" spans="1:33" ht="30" customHeight="1" x14ac:dyDescent="0.4">
      <c r="A3" s="16">
        <v>2</v>
      </c>
      <c r="B3" s="21" t="s">
        <v>32</v>
      </c>
      <c r="C3" s="18">
        <v>38621</v>
      </c>
      <c r="D3" s="33">
        <v>44987</v>
      </c>
      <c r="E3" s="19">
        <v>46081</v>
      </c>
      <c r="F3" s="21" t="s">
        <v>33</v>
      </c>
      <c r="G3" s="22" t="s">
        <v>34</v>
      </c>
      <c r="H3" s="22" t="s">
        <v>35</v>
      </c>
      <c r="I3" s="23" t="s">
        <v>36</v>
      </c>
      <c r="J3" s="24" t="s">
        <v>37</v>
      </c>
      <c r="K3" s="24" t="s">
        <v>36</v>
      </c>
      <c r="L3" s="24"/>
      <c r="M3" s="24"/>
      <c r="N3" s="24"/>
      <c r="O3" s="24"/>
      <c r="P3" s="25" t="s">
        <v>38</v>
      </c>
      <c r="Q3" s="34" t="s">
        <v>39</v>
      </c>
      <c r="R3" s="26"/>
      <c r="S3" s="35"/>
      <c r="T3" s="28"/>
      <c r="U3" s="29"/>
      <c r="V3" s="28">
        <v>6</v>
      </c>
      <c r="W3" s="29">
        <v>2</v>
      </c>
      <c r="X3" s="28"/>
      <c r="Y3" s="29"/>
      <c r="Z3" s="28"/>
      <c r="AA3" s="29"/>
      <c r="AB3" s="28">
        <v>14</v>
      </c>
      <c r="AC3" s="29">
        <v>10</v>
      </c>
      <c r="AD3" s="28"/>
      <c r="AE3" s="30"/>
      <c r="AF3" s="28">
        <f>SUM(T3,V3,X3,Z3,AB3,AD3)</f>
        <v>20</v>
      </c>
      <c r="AG3" s="31">
        <f t="shared" ref="AG3:AG23" si="0">SUM(U3,W3,Y3,AA3,AC3)</f>
        <v>12</v>
      </c>
    </row>
    <row r="4" spans="1:33" ht="30" customHeight="1" x14ac:dyDescent="0.4">
      <c r="A4" s="16">
        <v>3</v>
      </c>
      <c r="B4" s="36" t="s">
        <v>40</v>
      </c>
      <c r="C4" s="18">
        <v>38751</v>
      </c>
      <c r="D4" s="33">
        <v>44987</v>
      </c>
      <c r="E4" s="20">
        <v>46081</v>
      </c>
      <c r="F4" s="36" t="s">
        <v>41</v>
      </c>
      <c r="G4" s="22" t="s">
        <v>42</v>
      </c>
      <c r="H4" s="22" t="s">
        <v>43</v>
      </c>
      <c r="I4" s="23" t="s">
        <v>44</v>
      </c>
      <c r="J4" s="24" t="s">
        <v>45</v>
      </c>
      <c r="K4" s="24" t="s">
        <v>44</v>
      </c>
      <c r="L4" s="24"/>
      <c r="M4" s="24"/>
      <c r="N4" s="24"/>
      <c r="O4" s="24"/>
      <c r="P4" s="25" t="s">
        <v>46</v>
      </c>
      <c r="Q4" s="25" t="s">
        <v>47</v>
      </c>
      <c r="R4" s="26"/>
      <c r="S4" s="35"/>
      <c r="T4" s="28"/>
      <c r="U4" s="29"/>
      <c r="V4" s="28">
        <v>3</v>
      </c>
      <c r="W4" s="29">
        <v>3</v>
      </c>
      <c r="X4" s="28"/>
      <c r="Y4" s="29"/>
      <c r="Z4" s="28"/>
      <c r="AA4" s="29"/>
      <c r="AB4" s="28">
        <v>1</v>
      </c>
      <c r="AC4" s="29">
        <v>1</v>
      </c>
      <c r="AD4" s="28"/>
      <c r="AE4" s="30"/>
      <c r="AF4" s="28">
        <f t="shared" ref="AF4:AF23" si="1">SUM(T4,V4,X4,Z4,AB4,AD4)</f>
        <v>4</v>
      </c>
      <c r="AG4" s="31">
        <f t="shared" si="0"/>
        <v>4</v>
      </c>
    </row>
    <row r="5" spans="1:33" ht="30" customHeight="1" x14ac:dyDescent="0.4">
      <c r="A5" s="16">
        <v>4</v>
      </c>
      <c r="B5" s="36" t="s">
        <v>48</v>
      </c>
      <c r="C5" s="18">
        <v>38775</v>
      </c>
      <c r="D5" s="20">
        <v>44978</v>
      </c>
      <c r="E5" s="20">
        <v>46081</v>
      </c>
      <c r="F5" s="36" t="s">
        <v>49</v>
      </c>
      <c r="G5" s="25" t="s">
        <v>50</v>
      </c>
      <c r="H5" s="37" t="s">
        <v>35</v>
      </c>
      <c r="I5" s="38" t="s">
        <v>51</v>
      </c>
      <c r="J5" s="24" t="s">
        <v>52</v>
      </c>
      <c r="K5" s="24" t="s">
        <v>51</v>
      </c>
      <c r="L5" s="24"/>
      <c r="M5" s="24"/>
      <c r="N5" s="24"/>
      <c r="O5" s="24"/>
      <c r="P5" s="22" t="s">
        <v>38</v>
      </c>
      <c r="Q5" s="25" t="s">
        <v>31</v>
      </c>
      <c r="R5" s="26"/>
      <c r="S5" s="35"/>
      <c r="T5" s="28"/>
      <c r="U5" s="29"/>
      <c r="V5" s="28">
        <v>6</v>
      </c>
      <c r="W5" s="29">
        <v>2</v>
      </c>
      <c r="X5" s="28"/>
      <c r="Y5" s="29"/>
      <c r="Z5" s="28"/>
      <c r="AA5" s="29"/>
      <c r="AB5" s="28">
        <v>15</v>
      </c>
      <c r="AC5" s="29">
        <v>10</v>
      </c>
      <c r="AD5" s="28"/>
      <c r="AE5" s="30"/>
      <c r="AF5" s="28">
        <f>SUM(T5,V5,X5,Z5,AB5,AD5)</f>
        <v>21</v>
      </c>
      <c r="AG5" s="39">
        <f t="shared" si="0"/>
        <v>12</v>
      </c>
    </row>
    <row r="6" spans="1:33" ht="30" customHeight="1" x14ac:dyDescent="0.4">
      <c r="A6" s="16">
        <v>5</v>
      </c>
      <c r="B6" s="36" t="s">
        <v>53</v>
      </c>
      <c r="C6" s="18">
        <v>38807</v>
      </c>
      <c r="D6" s="19">
        <v>45037</v>
      </c>
      <c r="E6" s="19">
        <v>46142</v>
      </c>
      <c r="F6" s="36" t="s">
        <v>54</v>
      </c>
      <c r="G6" s="25" t="s">
        <v>55</v>
      </c>
      <c r="H6" s="37" t="s">
        <v>56</v>
      </c>
      <c r="I6" s="38" t="s">
        <v>57</v>
      </c>
      <c r="J6" s="24" t="s">
        <v>58</v>
      </c>
      <c r="K6" s="24" t="s">
        <v>59</v>
      </c>
      <c r="L6" s="24"/>
      <c r="M6" s="24"/>
      <c r="N6" s="24"/>
      <c r="O6" s="24"/>
      <c r="P6" s="22" t="s">
        <v>60</v>
      </c>
      <c r="Q6" s="25" t="s">
        <v>61</v>
      </c>
      <c r="R6" s="26"/>
      <c r="S6" s="35"/>
      <c r="T6" s="28"/>
      <c r="U6" s="29"/>
      <c r="V6" s="28"/>
      <c r="W6" s="29"/>
      <c r="X6" s="28">
        <v>1</v>
      </c>
      <c r="Y6" s="29"/>
      <c r="Z6" s="28">
        <v>1</v>
      </c>
      <c r="AA6" s="29">
        <v>1</v>
      </c>
      <c r="AB6" s="28">
        <v>3</v>
      </c>
      <c r="AC6" s="29">
        <v>3</v>
      </c>
      <c r="AD6" s="28"/>
      <c r="AE6" s="30"/>
      <c r="AF6" s="28">
        <f>SUM(T6,V6,X6,Z6,AB6,AD6)</f>
        <v>5</v>
      </c>
      <c r="AG6" s="31">
        <f t="shared" si="0"/>
        <v>4</v>
      </c>
    </row>
    <row r="7" spans="1:33" ht="30" customHeight="1" x14ac:dyDescent="0.4">
      <c r="A7" s="16">
        <v>6</v>
      </c>
      <c r="B7" s="36" t="s">
        <v>62</v>
      </c>
      <c r="C7" s="18">
        <v>38671</v>
      </c>
      <c r="D7" s="40">
        <v>44902</v>
      </c>
      <c r="E7" s="40">
        <v>45991</v>
      </c>
      <c r="F7" s="36" t="s">
        <v>63</v>
      </c>
      <c r="G7" s="25" t="s">
        <v>64</v>
      </c>
      <c r="H7" s="37" t="s">
        <v>65</v>
      </c>
      <c r="I7" s="38" t="s">
        <v>66</v>
      </c>
      <c r="J7" s="24" t="s">
        <v>67</v>
      </c>
      <c r="K7" s="24" t="s">
        <v>66</v>
      </c>
      <c r="L7" s="24"/>
      <c r="M7" s="24"/>
      <c r="N7" s="24"/>
      <c r="O7" s="24"/>
      <c r="P7" s="22" t="s">
        <v>68</v>
      </c>
      <c r="Q7" s="25" t="s">
        <v>69</v>
      </c>
      <c r="R7" s="26"/>
      <c r="S7" s="35"/>
      <c r="T7" s="28"/>
      <c r="U7" s="29"/>
      <c r="V7" s="28"/>
      <c r="W7" s="29"/>
      <c r="X7" s="28">
        <v>1</v>
      </c>
      <c r="Y7" s="29"/>
      <c r="Z7" s="28"/>
      <c r="AA7" s="29"/>
      <c r="AB7" s="28">
        <v>1</v>
      </c>
      <c r="AC7" s="29"/>
      <c r="AD7" s="28"/>
      <c r="AE7" s="30"/>
      <c r="AF7" s="28">
        <f>SUM(T7,V7,X7,Z7,AB7,AD7)</f>
        <v>2</v>
      </c>
      <c r="AG7" s="31">
        <f>SUM(U7,W7,Y7,AA7,AC7)</f>
        <v>0</v>
      </c>
    </row>
    <row r="8" spans="1:33" ht="30" customHeight="1" x14ac:dyDescent="0.4">
      <c r="A8" s="16">
        <v>7</v>
      </c>
      <c r="B8" s="36" t="s">
        <v>70</v>
      </c>
      <c r="C8" s="18">
        <v>38804</v>
      </c>
      <c r="D8" s="20">
        <v>44622</v>
      </c>
      <c r="E8" s="20">
        <v>45716</v>
      </c>
      <c r="F8" s="36" t="s">
        <v>71</v>
      </c>
      <c r="G8" s="25" t="s">
        <v>72</v>
      </c>
      <c r="H8" s="37" t="s">
        <v>73</v>
      </c>
      <c r="I8" s="38" t="s">
        <v>74</v>
      </c>
      <c r="J8" s="24" t="s">
        <v>75</v>
      </c>
      <c r="K8" s="24" t="s">
        <v>74</v>
      </c>
      <c r="L8" s="24"/>
      <c r="M8" s="24"/>
      <c r="N8" s="24"/>
      <c r="O8" s="24"/>
      <c r="P8" s="22" t="s">
        <v>76</v>
      </c>
      <c r="Q8" s="25" t="s">
        <v>77</v>
      </c>
      <c r="R8" s="26"/>
      <c r="S8" s="35"/>
      <c r="T8" s="28"/>
      <c r="U8" s="29"/>
      <c r="V8" s="28"/>
      <c r="W8" s="29"/>
      <c r="X8" s="28">
        <v>1</v>
      </c>
      <c r="Y8" s="29"/>
      <c r="Z8" s="28"/>
      <c r="AA8" s="29"/>
      <c r="AB8" s="28">
        <v>3</v>
      </c>
      <c r="AC8" s="29">
        <v>2</v>
      </c>
      <c r="AD8" s="28"/>
      <c r="AE8" s="30"/>
      <c r="AF8" s="28">
        <f>SUM(T8,V8,X8,Z8,AB8,AD8)</f>
        <v>4</v>
      </c>
      <c r="AG8" s="31">
        <f>SUM(U8,W8,Y8,AA8,AC8)</f>
        <v>2</v>
      </c>
    </row>
    <row r="9" spans="1:33" ht="30" customHeight="1" x14ac:dyDescent="0.4">
      <c r="A9" s="16">
        <v>8</v>
      </c>
      <c r="B9" s="36" t="s">
        <v>78</v>
      </c>
      <c r="C9" s="18">
        <v>38769</v>
      </c>
      <c r="D9" s="20">
        <v>44622</v>
      </c>
      <c r="E9" s="20">
        <v>45716</v>
      </c>
      <c r="F9" s="36" t="s">
        <v>79</v>
      </c>
      <c r="G9" s="25" t="s">
        <v>80</v>
      </c>
      <c r="H9" s="37" t="s">
        <v>81</v>
      </c>
      <c r="I9" s="38" t="s">
        <v>82</v>
      </c>
      <c r="J9" s="24" t="s">
        <v>83</v>
      </c>
      <c r="K9" s="24" t="s">
        <v>84</v>
      </c>
      <c r="L9" s="24"/>
      <c r="M9" s="24"/>
      <c r="N9" s="24"/>
      <c r="O9" s="24"/>
      <c r="P9" s="22" t="s">
        <v>76</v>
      </c>
      <c r="Q9" s="25" t="s">
        <v>85</v>
      </c>
      <c r="R9" s="26"/>
      <c r="S9" s="35"/>
      <c r="T9" s="28"/>
      <c r="U9" s="29"/>
      <c r="V9" s="28">
        <v>2</v>
      </c>
      <c r="W9" s="29">
        <v>1</v>
      </c>
      <c r="X9" s="28"/>
      <c r="Y9" s="29"/>
      <c r="Z9" s="28"/>
      <c r="AA9" s="29"/>
      <c r="AB9" s="28">
        <v>6</v>
      </c>
      <c r="AC9" s="29">
        <v>5</v>
      </c>
      <c r="AD9" s="28"/>
      <c r="AE9" s="30"/>
      <c r="AF9" s="28">
        <f t="shared" si="1"/>
        <v>8</v>
      </c>
      <c r="AG9" s="31">
        <f t="shared" si="0"/>
        <v>6</v>
      </c>
    </row>
    <row r="10" spans="1:33" ht="30" customHeight="1" x14ac:dyDescent="0.4">
      <c r="A10" s="16">
        <v>9</v>
      </c>
      <c r="B10" s="36" t="s">
        <v>86</v>
      </c>
      <c r="C10" s="18">
        <v>38740</v>
      </c>
      <c r="D10" s="19">
        <v>44943</v>
      </c>
      <c r="E10" s="19">
        <v>46053</v>
      </c>
      <c r="F10" s="36" t="s">
        <v>87</v>
      </c>
      <c r="G10" s="25" t="s">
        <v>88</v>
      </c>
      <c r="H10" s="37" t="s">
        <v>89</v>
      </c>
      <c r="I10" s="38" t="s">
        <v>90</v>
      </c>
      <c r="J10" s="24" t="s">
        <v>91</v>
      </c>
      <c r="K10" s="24" t="s">
        <v>90</v>
      </c>
      <c r="L10" s="24"/>
      <c r="M10" s="24"/>
      <c r="N10" s="24"/>
      <c r="O10" s="24"/>
      <c r="P10" s="22" t="s">
        <v>92</v>
      </c>
      <c r="Q10" s="25" t="s">
        <v>47</v>
      </c>
      <c r="R10" s="26"/>
      <c r="S10" s="35"/>
      <c r="T10" s="28"/>
      <c r="U10" s="29"/>
      <c r="V10" s="28">
        <v>3</v>
      </c>
      <c r="W10" s="29">
        <v>1</v>
      </c>
      <c r="X10" s="28">
        <v>1</v>
      </c>
      <c r="Y10" s="29"/>
      <c r="Z10" s="28"/>
      <c r="AA10" s="29"/>
      <c r="AB10" s="28">
        <v>2</v>
      </c>
      <c r="AC10" s="29">
        <v>1</v>
      </c>
      <c r="AD10" s="28"/>
      <c r="AE10" s="30"/>
      <c r="AF10" s="28">
        <f t="shared" si="1"/>
        <v>6</v>
      </c>
      <c r="AG10" s="31">
        <f t="shared" si="0"/>
        <v>2</v>
      </c>
    </row>
    <row r="11" spans="1:33" ht="30" customHeight="1" x14ac:dyDescent="0.4">
      <c r="A11" s="16">
        <v>10</v>
      </c>
      <c r="B11" s="36" t="s">
        <v>93</v>
      </c>
      <c r="C11" s="18">
        <v>38775</v>
      </c>
      <c r="D11" s="20">
        <v>44974</v>
      </c>
      <c r="E11" s="20">
        <v>46081</v>
      </c>
      <c r="F11" s="36" t="s">
        <v>94</v>
      </c>
      <c r="G11" s="25" t="s">
        <v>95</v>
      </c>
      <c r="H11" s="37" t="s">
        <v>96</v>
      </c>
      <c r="I11" s="38" t="s">
        <v>97</v>
      </c>
      <c r="J11" s="24" t="s">
        <v>98</v>
      </c>
      <c r="K11" s="24" t="s">
        <v>97</v>
      </c>
      <c r="L11" s="24"/>
      <c r="M11" s="24"/>
      <c r="N11" s="24"/>
      <c r="O11" s="24"/>
      <c r="P11" s="22" t="s">
        <v>30</v>
      </c>
      <c r="Q11" s="25" t="s">
        <v>99</v>
      </c>
      <c r="R11" s="26"/>
      <c r="S11" s="35"/>
      <c r="T11" s="28"/>
      <c r="U11" s="29"/>
      <c r="V11" s="28">
        <v>2</v>
      </c>
      <c r="W11" s="29">
        <v>1</v>
      </c>
      <c r="X11" s="28">
        <v>2</v>
      </c>
      <c r="Y11" s="29"/>
      <c r="Z11" s="28"/>
      <c r="AA11" s="29"/>
      <c r="AB11" s="28">
        <v>6</v>
      </c>
      <c r="AC11" s="29">
        <v>3</v>
      </c>
      <c r="AD11" s="28"/>
      <c r="AE11" s="30"/>
      <c r="AF11" s="28">
        <f t="shared" si="1"/>
        <v>10</v>
      </c>
      <c r="AG11" s="31">
        <f t="shared" si="0"/>
        <v>4</v>
      </c>
    </row>
    <row r="12" spans="1:33" ht="30" customHeight="1" x14ac:dyDescent="0.2">
      <c r="A12" s="16">
        <v>11</v>
      </c>
      <c r="B12" s="36" t="s">
        <v>100</v>
      </c>
      <c r="C12" s="18">
        <v>38775</v>
      </c>
      <c r="D12" s="20">
        <v>44974</v>
      </c>
      <c r="E12" s="20">
        <v>46081</v>
      </c>
      <c r="F12" s="36" t="s">
        <v>101</v>
      </c>
      <c r="G12" s="42" t="s">
        <v>102</v>
      </c>
      <c r="H12" s="37" t="s">
        <v>103</v>
      </c>
      <c r="I12" s="38" t="s">
        <v>104</v>
      </c>
      <c r="J12" s="43" t="s">
        <v>105</v>
      </c>
      <c r="K12" s="43" t="s">
        <v>106</v>
      </c>
      <c r="L12" s="43"/>
      <c r="M12" s="43"/>
      <c r="N12" s="43"/>
      <c r="O12" s="43"/>
      <c r="P12" s="22" t="s">
        <v>30</v>
      </c>
      <c r="Q12" s="25" t="s">
        <v>107</v>
      </c>
      <c r="R12" s="42"/>
      <c r="S12" s="44"/>
      <c r="T12" s="28"/>
      <c r="U12" s="29"/>
      <c r="V12" s="28">
        <v>1</v>
      </c>
      <c r="W12" s="29"/>
      <c r="X12" s="28"/>
      <c r="Y12" s="29"/>
      <c r="Z12" s="28"/>
      <c r="AA12" s="29"/>
      <c r="AB12" s="28">
        <v>1</v>
      </c>
      <c r="AC12" s="29">
        <v>1</v>
      </c>
      <c r="AD12" s="28"/>
      <c r="AE12" s="30"/>
      <c r="AF12" s="28">
        <f t="shared" si="1"/>
        <v>2</v>
      </c>
      <c r="AG12" s="31">
        <f t="shared" si="0"/>
        <v>1</v>
      </c>
    </row>
    <row r="13" spans="1:33" ht="30" customHeight="1" x14ac:dyDescent="0.2">
      <c r="A13" s="16">
        <v>12</v>
      </c>
      <c r="B13" s="36" t="s">
        <v>108</v>
      </c>
      <c r="C13" s="18">
        <v>38989</v>
      </c>
      <c r="D13" s="18">
        <v>45200</v>
      </c>
      <c r="E13" s="19">
        <v>46295</v>
      </c>
      <c r="F13" s="36" t="s">
        <v>109</v>
      </c>
      <c r="G13" s="42" t="s">
        <v>110</v>
      </c>
      <c r="H13" s="37" t="s">
        <v>111</v>
      </c>
      <c r="I13" s="38" t="s">
        <v>112</v>
      </c>
      <c r="J13" s="43" t="s">
        <v>113</v>
      </c>
      <c r="K13" s="43" t="s">
        <v>112</v>
      </c>
      <c r="L13" s="43"/>
      <c r="M13" s="43"/>
      <c r="N13" s="43"/>
      <c r="O13" s="43"/>
      <c r="P13" s="22" t="s">
        <v>114</v>
      </c>
      <c r="Q13" s="25" t="s">
        <v>115</v>
      </c>
      <c r="R13" s="42"/>
      <c r="S13" s="44"/>
      <c r="T13" s="28"/>
      <c r="U13" s="29"/>
      <c r="V13" s="28"/>
      <c r="W13" s="29"/>
      <c r="X13" s="28">
        <v>1</v>
      </c>
      <c r="Y13" s="29"/>
      <c r="Z13" s="28"/>
      <c r="AA13" s="29"/>
      <c r="AB13" s="28"/>
      <c r="AC13" s="29"/>
      <c r="AD13" s="28"/>
      <c r="AE13" s="30"/>
      <c r="AF13" s="28">
        <f t="shared" si="1"/>
        <v>1</v>
      </c>
      <c r="AG13" s="31">
        <f t="shared" si="0"/>
        <v>0</v>
      </c>
    </row>
    <row r="14" spans="1:33" ht="30" customHeight="1" x14ac:dyDescent="0.2">
      <c r="A14" s="16">
        <v>13</v>
      </c>
      <c r="B14" s="36" t="s">
        <v>116</v>
      </c>
      <c r="C14" s="18">
        <v>39951</v>
      </c>
      <c r="D14" s="19">
        <v>45077</v>
      </c>
      <c r="E14" s="19">
        <v>46173</v>
      </c>
      <c r="F14" s="36" t="s">
        <v>117</v>
      </c>
      <c r="G14" s="25" t="s">
        <v>118</v>
      </c>
      <c r="H14" s="37" t="s">
        <v>119</v>
      </c>
      <c r="I14" s="38" t="s">
        <v>120</v>
      </c>
      <c r="J14" s="24" t="s">
        <v>121</v>
      </c>
      <c r="K14" s="24" t="s">
        <v>122</v>
      </c>
      <c r="L14" s="24"/>
      <c r="M14" s="24"/>
      <c r="N14" s="24"/>
      <c r="O14" s="24"/>
      <c r="P14" s="22" t="s">
        <v>123</v>
      </c>
      <c r="Q14" s="25" t="s">
        <v>124</v>
      </c>
      <c r="R14" s="25"/>
      <c r="S14" s="45"/>
      <c r="T14" s="28"/>
      <c r="U14" s="29"/>
      <c r="V14" s="28">
        <v>2</v>
      </c>
      <c r="W14" s="29">
        <v>1</v>
      </c>
      <c r="X14" s="28">
        <v>1</v>
      </c>
      <c r="Y14" s="29"/>
      <c r="Z14" s="28"/>
      <c r="AA14" s="29"/>
      <c r="AB14" s="28">
        <v>1</v>
      </c>
      <c r="AC14" s="29">
        <v>1</v>
      </c>
      <c r="AD14" s="28"/>
      <c r="AE14" s="30"/>
      <c r="AF14" s="28">
        <f t="shared" si="1"/>
        <v>4</v>
      </c>
      <c r="AG14" s="31">
        <f t="shared" si="0"/>
        <v>2</v>
      </c>
    </row>
    <row r="15" spans="1:33" ht="30" customHeight="1" x14ac:dyDescent="0.4">
      <c r="A15" s="16">
        <v>14</v>
      </c>
      <c r="B15" s="36" t="s">
        <v>125</v>
      </c>
      <c r="C15" s="18">
        <v>40017</v>
      </c>
      <c r="D15" s="19">
        <v>45083</v>
      </c>
      <c r="E15" s="19">
        <v>46173</v>
      </c>
      <c r="F15" s="36" t="s">
        <v>126</v>
      </c>
      <c r="G15" s="25" t="s">
        <v>127</v>
      </c>
      <c r="H15" s="37" t="s">
        <v>128</v>
      </c>
      <c r="I15" s="38" t="s">
        <v>129</v>
      </c>
      <c r="J15" s="24" t="s">
        <v>130</v>
      </c>
      <c r="K15" s="24" t="s">
        <v>131</v>
      </c>
      <c r="L15" s="24"/>
      <c r="M15" s="24"/>
      <c r="N15" s="24"/>
      <c r="O15" s="24"/>
      <c r="P15" s="22" t="s">
        <v>123</v>
      </c>
      <c r="Q15" s="25" t="s">
        <v>132</v>
      </c>
      <c r="R15" s="46"/>
      <c r="S15" s="47"/>
      <c r="T15" s="28"/>
      <c r="U15" s="29"/>
      <c r="V15" s="28">
        <v>6</v>
      </c>
      <c r="W15" s="29"/>
      <c r="X15" s="28"/>
      <c r="Y15" s="29"/>
      <c r="Z15" s="28">
        <v>1</v>
      </c>
      <c r="AA15" s="29"/>
      <c r="AB15" s="28">
        <v>3</v>
      </c>
      <c r="AC15" s="29">
        <v>2</v>
      </c>
      <c r="AD15" s="28"/>
      <c r="AE15" s="30"/>
      <c r="AF15" s="28">
        <f t="shared" si="1"/>
        <v>10</v>
      </c>
      <c r="AG15" s="31">
        <f t="shared" si="0"/>
        <v>2</v>
      </c>
    </row>
    <row r="16" spans="1:33" ht="30" customHeight="1" x14ac:dyDescent="0.2">
      <c r="A16" s="16">
        <v>15</v>
      </c>
      <c r="B16" s="36" t="s">
        <v>133</v>
      </c>
      <c r="C16" s="18">
        <v>40632</v>
      </c>
      <c r="D16" s="18">
        <v>44635</v>
      </c>
      <c r="E16" s="19">
        <v>45747</v>
      </c>
      <c r="F16" s="36" t="s">
        <v>134</v>
      </c>
      <c r="G16" s="25" t="s">
        <v>135</v>
      </c>
      <c r="H16" s="37" t="s">
        <v>136</v>
      </c>
      <c r="I16" s="38" t="s">
        <v>137</v>
      </c>
      <c r="J16" s="24" t="s">
        <v>138</v>
      </c>
      <c r="K16" s="24" t="s">
        <v>139</v>
      </c>
      <c r="L16" s="24"/>
      <c r="M16" s="24"/>
      <c r="N16" s="24"/>
      <c r="O16" s="24"/>
      <c r="P16" s="22" t="s">
        <v>123</v>
      </c>
      <c r="Q16" s="25" t="s">
        <v>140</v>
      </c>
      <c r="R16" s="25"/>
      <c r="S16" s="45"/>
      <c r="T16" s="28"/>
      <c r="U16" s="29"/>
      <c r="V16" s="28"/>
      <c r="W16" s="29"/>
      <c r="X16" s="28"/>
      <c r="Y16" s="29"/>
      <c r="Z16" s="28"/>
      <c r="AA16" s="29"/>
      <c r="AB16" s="28">
        <v>4</v>
      </c>
      <c r="AC16" s="29">
        <v>2</v>
      </c>
      <c r="AD16" s="28"/>
      <c r="AE16" s="30"/>
      <c r="AF16" s="28">
        <f t="shared" si="1"/>
        <v>4</v>
      </c>
      <c r="AG16" s="31">
        <f t="shared" si="0"/>
        <v>2</v>
      </c>
    </row>
    <row r="17" spans="1:33" ht="30" customHeight="1" x14ac:dyDescent="0.2">
      <c r="A17" s="16">
        <v>16</v>
      </c>
      <c r="B17" s="36" t="s">
        <v>141</v>
      </c>
      <c r="C17" s="18">
        <v>38469</v>
      </c>
      <c r="D17" s="19">
        <v>44691</v>
      </c>
      <c r="E17" s="19">
        <v>45777</v>
      </c>
      <c r="F17" s="36" t="s">
        <v>142</v>
      </c>
      <c r="G17" s="25" t="s">
        <v>143</v>
      </c>
      <c r="H17" s="37" t="s">
        <v>144</v>
      </c>
      <c r="I17" s="38" t="s">
        <v>145</v>
      </c>
      <c r="J17" s="24" t="s">
        <v>146</v>
      </c>
      <c r="K17" s="24" t="s">
        <v>145</v>
      </c>
      <c r="L17" s="24"/>
      <c r="M17" s="24"/>
      <c r="N17" s="24"/>
      <c r="O17" s="24"/>
      <c r="P17" s="22" t="s">
        <v>147</v>
      </c>
      <c r="Q17" s="25" t="s">
        <v>31</v>
      </c>
      <c r="R17" s="25"/>
      <c r="S17" s="45"/>
      <c r="T17" s="28"/>
      <c r="U17" s="29"/>
      <c r="V17" s="28">
        <v>1</v>
      </c>
      <c r="W17" s="29"/>
      <c r="X17" s="28"/>
      <c r="Y17" s="29"/>
      <c r="Z17" s="28">
        <v>1</v>
      </c>
      <c r="AA17" s="29">
        <v>1</v>
      </c>
      <c r="AB17" s="28">
        <v>9</v>
      </c>
      <c r="AC17" s="29">
        <v>2</v>
      </c>
      <c r="AD17" s="28"/>
      <c r="AE17" s="30"/>
      <c r="AF17" s="28">
        <f t="shared" si="1"/>
        <v>11</v>
      </c>
      <c r="AG17" s="31">
        <f t="shared" si="0"/>
        <v>3</v>
      </c>
    </row>
    <row r="18" spans="1:33" ht="30" customHeight="1" x14ac:dyDescent="0.2">
      <c r="A18" s="16">
        <v>17</v>
      </c>
      <c r="B18" s="36" t="s">
        <v>148</v>
      </c>
      <c r="C18" s="18">
        <v>41579</v>
      </c>
      <c r="D18" s="18">
        <v>44482</v>
      </c>
      <c r="E18" s="19">
        <v>45596</v>
      </c>
      <c r="F18" s="36" t="s">
        <v>149</v>
      </c>
      <c r="G18" s="25" t="s">
        <v>150</v>
      </c>
      <c r="H18" s="37" t="s">
        <v>151</v>
      </c>
      <c r="I18" s="38" t="s">
        <v>152</v>
      </c>
      <c r="J18" s="24" t="s">
        <v>153</v>
      </c>
      <c r="K18" s="24" t="s">
        <v>152</v>
      </c>
      <c r="L18" s="24"/>
      <c r="M18" s="24"/>
      <c r="N18" s="24"/>
      <c r="O18" s="24"/>
      <c r="P18" s="22" t="s">
        <v>154</v>
      </c>
      <c r="Q18" s="25" t="s">
        <v>31</v>
      </c>
      <c r="R18" s="25"/>
      <c r="S18" s="45"/>
      <c r="T18" s="28"/>
      <c r="U18" s="29"/>
      <c r="V18" s="28">
        <v>1</v>
      </c>
      <c r="W18" s="29"/>
      <c r="X18" s="28"/>
      <c r="Y18" s="29"/>
      <c r="Z18" s="28"/>
      <c r="AA18" s="29"/>
      <c r="AB18" s="28">
        <v>16</v>
      </c>
      <c r="AC18" s="29">
        <v>6</v>
      </c>
      <c r="AD18" s="28"/>
      <c r="AE18" s="30"/>
      <c r="AF18" s="28">
        <f t="shared" si="1"/>
        <v>17</v>
      </c>
      <c r="AG18" s="31">
        <f t="shared" si="0"/>
        <v>6</v>
      </c>
    </row>
    <row r="19" spans="1:33" ht="30" customHeight="1" x14ac:dyDescent="0.2">
      <c r="A19" s="16">
        <v>18</v>
      </c>
      <c r="B19" s="36" t="s">
        <v>155</v>
      </c>
      <c r="C19" s="18">
        <v>38775</v>
      </c>
      <c r="D19" s="19">
        <v>44971</v>
      </c>
      <c r="E19" s="20">
        <v>46081</v>
      </c>
      <c r="F19" s="36" t="s">
        <v>156</v>
      </c>
      <c r="G19" s="25" t="s">
        <v>157</v>
      </c>
      <c r="H19" s="37" t="s">
        <v>158</v>
      </c>
      <c r="I19" s="38" t="s">
        <v>159</v>
      </c>
      <c r="J19" s="24" t="s">
        <v>160</v>
      </c>
      <c r="K19" s="24" t="s">
        <v>161</v>
      </c>
      <c r="L19" s="24"/>
      <c r="M19" s="24"/>
      <c r="N19" s="24"/>
      <c r="O19" s="24"/>
      <c r="P19" s="22" t="s">
        <v>162</v>
      </c>
      <c r="Q19" s="25" t="s">
        <v>31</v>
      </c>
      <c r="R19" s="25"/>
      <c r="S19" s="45"/>
      <c r="T19" s="28"/>
      <c r="U19" s="29"/>
      <c r="V19" s="28"/>
      <c r="W19" s="29"/>
      <c r="X19" s="28">
        <v>1</v>
      </c>
      <c r="Y19" s="29">
        <v>1</v>
      </c>
      <c r="Z19" s="28">
        <v>2</v>
      </c>
      <c r="AA19" s="29"/>
      <c r="AB19" s="28">
        <v>2</v>
      </c>
      <c r="AC19" s="29">
        <v>2</v>
      </c>
      <c r="AD19" s="28"/>
      <c r="AE19" s="30"/>
      <c r="AF19" s="28">
        <f t="shared" si="1"/>
        <v>5</v>
      </c>
      <c r="AG19" s="31">
        <f t="shared" si="0"/>
        <v>3</v>
      </c>
    </row>
    <row r="20" spans="1:33" ht="30" customHeight="1" x14ac:dyDescent="0.2">
      <c r="A20" s="16">
        <v>19</v>
      </c>
      <c r="B20" s="36" t="s">
        <v>163</v>
      </c>
      <c r="C20" s="18">
        <v>43538</v>
      </c>
      <c r="D20" s="18">
        <v>45007</v>
      </c>
      <c r="E20" s="19">
        <v>46094</v>
      </c>
      <c r="F20" s="36" t="s">
        <v>164</v>
      </c>
      <c r="G20" s="25" t="s">
        <v>165</v>
      </c>
      <c r="H20" s="37" t="s">
        <v>166</v>
      </c>
      <c r="I20" s="38" t="s">
        <v>167</v>
      </c>
      <c r="J20" s="24" t="s">
        <v>168</v>
      </c>
      <c r="K20" s="24" t="s">
        <v>169</v>
      </c>
      <c r="L20" s="24"/>
      <c r="M20" s="24"/>
      <c r="N20" s="24"/>
      <c r="O20" s="24"/>
      <c r="P20" s="22" t="s">
        <v>30</v>
      </c>
      <c r="Q20" s="25" t="s">
        <v>170</v>
      </c>
      <c r="R20" s="25"/>
      <c r="S20" s="45"/>
      <c r="T20" s="28"/>
      <c r="U20" s="29"/>
      <c r="V20" s="28"/>
      <c r="W20" s="29"/>
      <c r="X20" s="28"/>
      <c r="Y20" s="29"/>
      <c r="Z20" s="28"/>
      <c r="AA20" s="29"/>
      <c r="AB20" s="28">
        <v>7</v>
      </c>
      <c r="AC20" s="29">
        <v>6</v>
      </c>
      <c r="AD20" s="28"/>
      <c r="AE20" s="30"/>
      <c r="AF20" s="28">
        <f t="shared" si="1"/>
        <v>7</v>
      </c>
      <c r="AG20" s="31">
        <f t="shared" si="0"/>
        <v>6</v>
      </c>
    </row>
    <row r="21" spans="1:33" ht="30" customHeight="1" x14ac:dyDescent="0.2">
      <c r="A21" s="16">
        <v>20</v>
      </c>
      <c r="B21" s="36" t="s">
        <v>171</v>
      </c>
      <c r="C21" s="18">
        <v>43900</v>
      </c>
      <c r="D21" s="18">
        <v>44636</v>
      </c>
      <c r="E21" s="19">
        <v>45747</v>
      </c>
      <c r="F21" s="36" t="s">
        <v>172</v>
      </c>
      <c r="G21" s="48" t="s">
        <v>173</v>
      </c>
      <c r="H21" s="37" t="s">
        <v>174</v>
      </c>
      <c r="I21" s="38" t="s">
        <v>175</v>
      </c>
      <c r="J21" s="24" t="s">
        <v>176</v>
      </c>
      <c r="K21" s="24" t="s">
        <v>175</v>
      </c>
      <c r="L21" s="24"/>
      <c r="M21" s="24"/>
      <c r="N21" s="24"/>
      <c r="O21" s="24"/>
      <c r="P21" s="22" t="s">
        <v>114</v>
      </c>
      <c r="Q21" s="25" t="s">
        <v>177</v>
      </c>
      <c r="R21" s="25"/>
      <c r="S21" s="45"/>
      <c r="T21" s="28"/>
      <c r="U21" s="29"/>
      <c r="V21" s="28"/>
      <c r="W21" s="29"/>
      <c r="X21" s="28"/>
      <c r="Y21" s="29"/>
      <c r="Z21" s="28"/>
      <c r="AA21" s="29"/>
      <c r="AB21" s="28">
        <v>12</v>
      </c>
      <c r="AC21" s="29">
        <v>5</v>
      </c>
      <c r="AD21" s="28"/>
      <c r="AE21" s="30"/>
      <c r="AF21" s="28">
        <f t="shared" si="1"/>
        <v>12</v>
      </c>
      <c r="AG21" s="31">
        <f t="shared" si="0"/>
        <v>5</v>
      </c>
    </row>
    <row r="22" spans="1:33" ht="30" customHeight="1" x14ac:dyDescent="0.2">
      <c r="A22" s="16">
        <v>21</v>
      </c>
      <c r="B22" s="36" t="s">
        <v>178</v>
      </c>
      <c r="C22" s="18">
        <v>44936</v>
      </c>
      <c r="D22" s="18" t="s">
        <v>179</v>
      </c>
      <c r="E22" s="19">
        <v>45688</v>
      </c>
      <c r="F22" s="36" t="s">
        <v>180</v>
      </c>
      <c r="G22" s="48" t="s">
        <v>181</v>
      </c>
      <c r="H22" s="37" t="s">
        <v>182</v>
      </c>
      <c r="I22" s="38" t="s">
        <v>183</v>
      </c>
      <c r="J22" s="24" t="s">
        <v>184</v>
      </c>
      <c r="K22" s="24" t="s">
        <v>185</v>
      </c>
      <c r="L22" s="24"/>
      <c r="M22" s="24"/>
      <c r="N22" s="24"/>
      <c r="O22" s="24"/>
      <c r="P22" s="22" t="s">
        <v>186</v>
      </c>
      <c r="Q22" s="25" t="s">
        <v>47</v>
      </c>
      <c r="R22" s="25"/>
      <c r="S22" s="45"/>
      <c r="T22" s="28"/>
      <c r="U22" s="29"/>
      <c r="V22" s="28">
        <v>2</v>
      </c>
      <c r="W22" s="29">
        <v>2</v>
      </c>
      <c r="X22" s="28"/>
      <c r="Y22" s="29"/>
      <c r="Z22" s="28">
        <v>3</v>
      </c>
      <c r="AA22" s="29">
        <v>2</v>
      </c>
      <c r="AB22" s="28">
        <v>1</v>
      </c>
      <c r="AC22" s="29">
        <v>1</v>
      </c>
      <c r="AD22" s="28"/>
      <c r="AE22" s="30"/>
      <c r="AF22" s="28">
        <f t="shared" si="1"/>
        <v>6</v>
      </c>
      <c r="AG22" s="31">
        <f t="shared" si="0"/>
        <v>5</v>
      </c>
    </row>
    <row r="23" spans="1:33" ht="30" customHeight="1" x14ac:dyDescent="0.2">
      <c r="A23" s="16">
        <v>22</v>
      </c>
      <c r="B23" s="36" t="s">
        <v>187</v>
      </c>
      <c r="C23" s="49">
        <v>45077</v>
      </c>
      <c r="D23" s="49" t="s">
        <v>179</v>
      </c>
      <c r="E23" s="50">
        <v>45808</v>
      </c>
      <c r="F23" s="51" t="s">
        <v>188</v>
      </c>
      <c r="G23" s="48" t="s">
        <v>189</v>
      </c>
      <c r="H23" s="37" t="s">
        <v>190</v>
      </c>
      <c r="I23" s="38" t="s">
        <v>191</v>
      </c>
      <c r="J23" s="24" t="s">
        <v>192</v>
      </c>
      <c r="K23" s="24" t="s">
        <v>193</v>
      </c>
      <c r="L23" s="24"/>
      <c r="M23" s="24"/>
      <c r="N23" s="24"/>
      <c r="O23" s="24"/>
      <c r="P23" s="22" t="s">
        <v>194</v>
      </c>
      <c r="Q23" s="25" t="s">
        <v>195</v>
      </c>
      <c r="R23" s="25"/>
      <c r="S23" s="45"/>
      <c r="T23" s="52"/>
      <c r="U23" s="53"/>
      <c r="V23" s="52"/>
      <c r="W23" s="53"/>
      <c r="X23" s="52">
        <v>1</v>
      </c>
      <c r="Y23" s="53">
        <v>1</v>
      </c>
      <c r="Z23" s="52"/>
      <c r="AA23" s="53"/>
      <c r="AB23" s="52">
        <v>6</v>
      </c>
      <c r="AC23" s="53">
        <v>5</v>
      </c>
      <c r="AD23" s="52"/>
      <c r="AE23" s="54"/>
      <c r="AF23" s="52">
        <f t="shared" si="1"/>
        <v>7</v>
      </c>
      <c r="AG23" s="55">
        <f t="shared" si="0"/>
        <v>6</v>
      </c>
    </row>
  </sheetData>
  <sheetProtection algorithmName="SHA-512" hashValue="Ue0A52RUA12+DAACWqb7kDKAWbI7Q7htnPSysP0cHCacVqaTYLcipVFtp06qBZy6nWyoEtK+1NIG3ZrSuKvWqA==" saltValue="gVotCnw5kway/aaHC3+thQ==" spinCount="100000" sheet="1" objects="1" scenarios="1"/>
  <dataConsolidate/>
  <mergeCells count="7">
    <mergeCell ref="AF1:AG1"/>
    <mergeCell ref="T1:U1"/>
    <mergeCell ref="V1:W1"/>
    <mergeCell ref="X1:Y1"/>
    <mergeCell ref="Z1:AA1"/>
    <mergeCell ref="AB1:AC1"/>
    <mergeCell ref="AD1:AE1"/>
  </mergeCells>
  <phoneticPr fontId="5"/>
  <hyperlinks>
    <hyperlink ref="B20" location="'24'!A1" display="'24'!A1" xr:uid="{64A693BB-D396-4F87-8A28-2B75701622D0}"/>
    <hyperlink ref="B21" location="'25'!A1" display="'25'!A1" xr:uid="{69443B3B-0413-4DB5-91FB-67111C9F2678}"/>
    <hyperlink ref="B19" location="'22'!A1" display="'22'!A1" xr:uid="{ADF60462-7887-403D-A5B9-0109565AF253}"/>
    <hyperlink ref="B18" location="'21'!A1" display="'21'!A1" xr:uid="{1BE65F32-68E4-45D2-B806-965E2F03F7CC}"/>
    <hyperlink ref="B17" location="'20'!A1" display="'20'!A1" xr:uid="{74021A14-2903-415E-B977-EA0019248A0F}"/>
    <hyperlink ref="B16" location="'18'!A1" display="'18'!A1" xr:uid="{002A9183-AE16-42BA-97D8-5604A10A3A3B}"/>
    <hyperlink ref="B15" location="'17'!A1" display="'17'!A1" xr:uid="{62DBA6BA-C307-42B1-8AC4-92197FD3FD9F}"/>
    <hyperlink ref="B14" location="'16'!A1" display="'16'!A1" xr:uid="{AF6D8A13-F5DC-49EB-BECD-27F0877E9582}"/>
    <hyperlink ref="B13" location="'15'!A1" display="'15'!A1" xr:uid="{12F3535A-D744-4615-AEA3-C5269E7594E9}"/>
    <hyperlink ref="B12" location="'11'!A1" display="'11'!A1" xr:uid="{378F36B7-28D3-471A-877A-133E5C4EF27A}"/>
    <hyperlink ref="B11" location="'10'!A1" display="'10'!A1" xr:uid="{31C4204A-426A-45DE-B3F1-32C006A3690F}"/>
    <hyperlink ref="B10" location="'9'!A1" display="'9'!A1" xr:uid="{0BA917F8-F274-467A-BE19-F21921D58969}"/>
    <hyperlink ref="B9" location="'7'!A1" display="'7'!A1" xr:uid="{11987F37-9F5C-47C1-A4B1-2A1582E4C1EB}"/>
    <hyperlink ref="B8" location="'6'!A1" display="'6'!A1" xr:uid="{A8E1A52D-7841-411D-8739-8376ADECAA37}"/>
    <hyperlink ref="B7" location="'4'!A1" display="'4'!A1" xr:uid="{7BE082A9-4E39-4B49-9C46-465F5508A17C}"/>
    <hyperlink ref="B6" location="'3'!A1" display="'3'!A1" xr:uid="{D19702A1-EBF8-46CC-9374-0E53BEF70077}"/>
    <hyperlink ref="B5" location="'2'!A1" display="'2'!A1" xr:uid="{3133367C-E61A-4FB6-B2B4-5FB804FB0CE0}"/>
    <hyperlink ref="B4" location="'1'!A1" display="'1'!A1" xr:uid="{016A2EF1-E051-4B49-9BCC-6DA03B319257}"/>
    <hyperlink ref="B3" location="'市福2'!A1" display="'市福2'!A1" xr:uid="{AE05A61B-A560-4123-A605-074A4B90CCFB}"/>
    <hyperlink ref="B2" location="'市福1'!A1" display="'市福1'!A1" xr:uid="{216BEEAA-A5ED-42EC-B8A7-DEE56D1DBAA0}"/>
    <hyperlink ref="B22" location="'26'!A1" display="北函福第２６号" xr:uid="{93F2BCD1-A0D8-4079-B04C-7AA7D1346BDD}"/>
    <hyperlink ref="B23" location="'27'!Print_Area" display="北函福第２７号" xr:uid="{41E3780B-E60D-4C6D-845F-11021AEFF5E3}"/>
  </hyperlinks>
  <pageMargins left="0.23622047244094491" right="0.23622047244094491" top="0.74803149606299213" bottom="0.74803149606299213" header="0.31496062992125984" footer="0.31496062992125984"/>
  <pageSetup paperSize="9" scale="72" orientation="portrait" r:id="rId1"/>
  <headerFooter>
    <oddHeader>&amp;C&amp;24自家用有償旅客運送登録簿（福祉有償運送）</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A0D8A-FD50-4942-A201-8CB38F91361F}">
  <sheetPr codeName="Sheet34">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253</v>
      </c>
      <c r="E2" s="76"/>
      <c r="F2" s="76"/>
      <c r="G2" s="76"/>
      <c r="H2" s="76"/>
      <c r="I2" s="76"/>
      <c r="J2" s="76"/>
      <c r="K2" s="77"/>
    </row>
    <row r="3" spans="1:25" ht="30" customHeight="1" x14ac:dyDescent="0.2">
      <c r="A3" s="78" t="s">
        <v>217</v>
      </c>
      <c r="B3" s="79"/>
      <c r="C3" s="79"/>
      <c r="D3" s="80">
        <f>VLOOKUP($D$2,福祉!$B$2:$AG$1010,2,FALSE)</f>
        <v>38769</v>
      </c>
      <c r="E3" s="81"/>
      <c r="F3" s="81"/>
      <c r="G3" s="81"/>
      <c r="H3" s="81"/>
      <c r="I3" s="81"/>
      <c r="J3" s="81"/>
      <c r="K3" s="82"/>
    </row>
    <row r="4" spans="1:25" ht="30" customHeight="1" x14ac:dyDescent="0.2">
      <c r="A4" s="78" t="s">
        <v>218</v>
      </c>
      <c r="B4" s="79"/>
      <c r="C4" s="79"/>
      <c r="D4" s="80">
        <f>VLOOKUP($D$2,福祉!$B$2:$AG$1010,3,FALSE)</f>
        <v>44622</v>
      </c>
      <c r="E4" s="81"/>
      <c r="F4" s="81"/>
      <c r="G4" s="81"/>
      <c r="H4" s="81"/>
      <c r="I4" s="81"/>
      <c r="J4" s="81"/>
      <c r="K4" s="82"/>
    </row>
    <row r="5" spans="1:25" ht="30" customHeight="1" x14ac:dyDescent="0.2">
      <c r="A5" s="78" t="s">
        <v>219</v>
      </c>
      <c r="B5" s="79"/>
      <c r="C5" s="79"/>
      <c r="D5" s="80">
        <f>VLOOKUP($D$2,福祉!$B$2:$AG$1010,4,FALSE)</f>
        <v>45716</v>
      </c>
      <c r="E5" s="81"/>
      <c r="F5" s="81"/>
      <c r="G5" s="81"/>
      <c r="H5" s="81"/>
      <c r="I5" s="81"/>
      <c r="J5" s="81"/>
      <c r="K5" s="82"/>
    </row>
    <row r="6" spans="1:25" ht="30" customHeight="1" x14ac:dyDescent="0.2">
      <c r="A6" s="78" t="s">
        <v>220</v>
      </c>
      <c r="B6" s="79"/>
      <c r="C6" s="79"/>
      <c r="D6" s="80" t="str">
        <f>VLOOKUP($D$2,福祉!$B$2:$AG$1010,5,FALSE)</f>
        <v>医療法人社団　明山会</v>
      </c>
      <c r="E6" s="81"/>
      <c r="F6" s="81"/>
      <c r="G6" s="81"/>
      <c r="H6" s="81"/>
      <c r="I6" s="81"/>
      <c r="J6" s="81"/>
      <c r="K6" s="82"/>
    </row>
    <row r="7" spans="1:25" ht="30" customHeight="1" x14ac:dyDescent="0.2">
      <c r="A7" s="78" t="s">
        <v>221</v>
      </c>
      <c r="B7" s="79"/>
      <c r="C7" s="79"/>
      <c r="D7" s="80" t="str">
        <f>VLOOKUP($D$2,福祉!$B$2:$AG$1010,6,FALSE)</f>
        <v>山本　登</v>
      </c>
      <c r="E7" s="81"/>
      <c r="F7" s="81"/>
      <c r="G7" s="81"/>
      <c r="H7" s="81"/>
      <c r="I7" s="81"/>
      <c r="J7" s="81"/>
      <c r="K7" s="82"/>
    </row>
    <row r="8" spans="1:25" ht="30" customHeight="1" x14ac:dyDescent="0.2">
      <c r="A8" s="78" t="s">
        <v>222</v>
      </c>
      <c r="B8" s="79"/>
      <c r="C8" s="79"/>
      <c r="D8" s="80" t="str">
        <f>VLOOKUP($D$2,福祉!$B$2:$AG$1010,8,FALSE)</f>
        <v>山形県東根市大森２丁目３番６号</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道南森ロイヤル指定訪問介護事業所</v>
      </c>
      <c r="E12" s="98"/>
      <c r="F12" s="98" t="str">
        <f>IFERROR(VLOOKUP($D$2,福祉!$B$2:$AG$1010,10,FALSE),0)</f>
        <v>茅部郡森町字上台町３２６番１１８</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茅部郡森町</v>
      </c>
      <c r="E14" s="93"/>
      <c r="F14" s="93"/>
      <c r="G14" s="93"/>
      <c r="H14" s="93"/>
      <c r="I14" s="93"/>
      <c r="J14" s="93"/>
      <c r="K14" s="94"/>
      <c r="O14" s="67"/>
      <c r="X14" s="67"/>
      <c r="Y14" s="56"/>
    </row>
    <row r="15" spans="1:25" ht="30" customHeight="1" x14ac:dyDescent="0.2">
      <c r="A15" s="90" t="s">
        <v>230</v>
      </c>
      <c r="B15" s="91"/>
      <c r="C15" s="91"/>
      <c r="D15" s="103" t="str">
        <f>VLOOKUP($D$2,福祉!$B$2:$AG$1010,16,FALSE)</f>
        <v>　　　二　　</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道南森ロイヤル指定訪問介護事業所</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2</v>
      </c>
      <c r="G23" s="131">
        <f>IFERROR(VLOOKUP($D$2,福祉!$B$2:$AG$1010,23,FALSE),0)</f>
        <v>0</v>
      </c>
      <c r="H23" s="132">
        <f>IFERROR(VLOOKUP($D$2,福祉!$B$2:$AG$1010,25,FALSE),0)</f>
        <v>0</v>
      </c>
      <c r="I23" s="131">
        <f>IFERROR(VLOOKUP($D$2,福祉!$B$2:$AG$1010,27,FALSE),0)</f>
        <v>6</v>
      </c>
      <c r="J23" s="131">
        <f>IFERROR(VLOOKUP($D$2,福祉!$B$2:$AG$1010,29,FALSE),0)</f>
        <v>0</v>
      </c>
      <c r="K23" s="133">
        <f>SUM(E23:J23)</f>
        <v>8</v>
      </c>
    </row>
    <row r="24" spans="1:24" ht="19.8" x14ac:dyDescent="0.2">
      <c r="A24" s="127"/>
      <c r="B24" s="128"/>
      <c r="C24" s="134"/>
      <c r="D24" s="135"/>
      <c r="E24" s="136">
        <f>IFERROR(VLOOKUP($D$2,福祉!$B$2:$AG$1010,20,FALSE),0)</f>
        <v>0</v>
      </c>
      <c r="F24" s="136">
        <f>IFERROR(VLOOKUP($D$2,福祉!$B$2:$AG$1010,22,FALSE),0)</f>
        <v>1</v>
      </c>
      <c r="G24" s="136">
        <f>IFERROR(VLOOKUP($D$2,福祉!$B$2:$AG$1010,24,FALSE),0)</f>
        <v>0</v>
      </c>
      <c r="H24" s="136">
        <f>IFERROR(VLOOKUP($D$2,福祉!$B$2:$AG$1010,26,FALSE),0)</f>
        <v>0</v>
      </c>
      <c r="I24" s="137">
        <f>IFERROR(VLOOKUP($D$2,福祉!$B$2:$AG$3010,28,FALSE),0)</f>
        <v>5</v>
      </c>
      <c r="J24" s="138"/>
      <c r="K24" s="139">
        <f>SUM(E24:I24)</f>
        <v>6</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2</v>
      </c>
      <c r="G35" s="131">
        <f t="shared" si="0"/>
        <v>0</v>
      </c>
      <c r="H35" s="132">
        <f t="shared" si="0"/>
        <v>0</v>
      </c>
      <c r="I35" s="131">
        <f t="shared" si="0"/>
        <v>6</v>
      </c>
      <c r="J35" s="131">
        <f t="shared" si="0"/>
        <v>0</v>
      </c>
      <c r="K35" s="133">
        <f>SUM(E35:J35)</f>
        <v>8</v>
      </c>
    </row>
    <row r="36" spans="1:11" ht="20.399999999999999" thickBot="1" x14ac:dyDescent="0.25">
      <c r="A36" s="155"/>
      <c r="B36" s="156"/>
      <c r="C36" s="157"/>
      <c r="D36" s="158"/>
      <c r="E36" s="159">
        <f>SUM(E24+E27+E30+E33)</f>
        <v>0</v>
      </c>
      <c r="F36" s="159">
        <f>SUM(F24+F27+F30+F33)</f>
        <v>1</v>
      </c>
      <c r="G36" s="159">
        <f>SUM(G24+G27+G30+G33)</f>
        <v>0</v>
      </c>
      <c r="H36" s="159">
        <f>SUM(H24+H27+H30+H33)</f>
        <v>0</v>
      </c>
      <c r="I36" s="160">
        <f>SUM(I24+I27+I30+I33)</f>
        <v>5</v>
      </c>
      <c r="J36" s="161"/>
      <c r="K36" s="162">
        <f>SUM(E36:I36)</f>
        <v>6</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5C0NVtHncNfaZRUWCJhaIk41Tfz/MD0aZ+7y2OgS9ZLpblby0HehvD6JEQSZY0hBYMxrBVMxO+Qlg4Araf0a+Q==" saltValue="YRD3LaqBSjFEq+F9xbz+T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BF92B46A-C9B0-4776-B299-8A68AB20F0EE}">
      <formula1>"○"</formula1>
    </dataValidation>
    <dataValidation type="list" allowBlank="1" showInputMessage="1" sqref="A22:B33" xr:uid="{9803AD3C-3B06-4000-A72E-084A80D91666}">
      <formula1>"交通空白地有償運送,福祉有償運送"</formula1>
    </dataValidation>
    <dataValidation allowBlank="1" showInputMessage="1" sqref="D2:K2" xr:uid="{AAE33206-268C-412C-93CF-34561751249E}"/>
  </dataValidations>
  <hyperlinks>
    <hyperlink ref="O1:Q1" location="福祉!A1" display="福祉!A1" xr:uid="{E5C75D6C-A851-46A5-A49B-E4A87CBB8347}"/>
  </hyperlinks>
  <pageMargins left="0.25" right="0.25" top="0.75" bottom="0.75" header="0.3" footer="0.3"/>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9EC1F-5C00-40B8-A328-DA4E3BF68825}">
  <sheetPr codeName="Sheet35">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254</v>
      </c>
      <c r="E2" s="76"/>
      <c r="F2" s="76"/>
      <c r="G2" s="76"/>
      <c r="H2" s="76"/>
      <c r="I2" s="76"/>
      <c r="J2" s="76"/>
      <c r="K2" s="77"/>
    </row>
    <row r="3" spans="1:25" ht="30" customHeight="1" x14ac:dyDescent="0.2">
      <c r="A3" s="78" t="s">
        <v>217</v>
      </c>
      <c r="B3" s="79"/>
      <c r="C3" s="79"/>
      <c r="D3" s="80">
        <f>VLOOKUP($D$2,福祉!$B$2:$AG$1010,2,FALSE)</f>
        <v>38740</v>
      </c>
      <c r="E3" s="81"/>
      <c r="F3" s="81"/>
      <c r="G3" s="81"/>
      <c r="H3" s="81"/>
      <c r="I3" s="81"/>
      <c r="J3" s="81"/>
      <c r="K3" s="82"/>
    </row>
    <row r="4" spans="1:25" ht="30" customHeight="1" x14ac:dyDescent="0.2">
      <c r="A4" s="78" t="s">
        <v>218</v>
      </c>
      <c r="B4" s="79"/>
      <c r="C4" s="79"/>
      <c r="D4" s="80">
        <f>VLOOKUP($D$2,福祉!$B$2:$AG$1010,3,FALSE)</f>
        <v>44943</v>
      </c>
      <c r="E4" s="81"/>
      <c r="F4" s="81"/>
      <c r="G4" s="81"/>
      <c r="H4" s="81"/>
      <c r="I4" s="81"/>
      <c r="J4" s="81"/>
      <c r="K4" s="82"/>
    </row>
    <row r="5" spans="1:25" ht="30" customHeight="1" x14ac:dyDescent="0.2">
      <c r="A5" s="78" t="s">
        <v>219</v>
      </c>
      <c r="B5" s="79"/>
      <c r="C5" s="79"/>
      <c r="D5" s="80">
        <f>VLOOKUP($D$2,福祉!$B$2:$AG$1010,4,FALSE)</f>
        <v>46053</v>
      </c>
      <c r="E5" s="81"/>
      <c r="F5" s="81"/>
      <c r="G5" s="81"/>
      <c r="H5" s="81"/>
      <c r="I5" s="81"/>
      <c r="J5" s="81"/>
      <c r="K5" s="82"/>
    </row>
    <row r="6" spans="1:25" ht="30" customHeight="1" x14ac:dyDescent="0.2">
      <c r="A6" s="78" t="s">
        <v>220</v>
      </c>
      <c r="B6" s="79"/>
      <c r="C6" s="79"/>
      <c r="D6" s="80" t="str">
        <f>VLOOKUP($D$2,福祉!$B$2:$AG$1010,5,FALSE)</f>
        <v>社会福祉法人　上ノ国町社会福祉協議会</v>
      </c>
      <c r="E6" s="81"/>
      <c r="F6" s="81"/>
      <c r="G6" s="81"/>
      <c r="H6" s="81"/>
      <c r="I6" s="81"/>
      <c r="J6" s="81"/>
      <c r="K6" s="82"/>
    </row>
    <row r="7" spans="1:25" ht="30" customHeight="1" x14ac:dyDescent="0.2">
      <c r="A7" s="78" t="s">
        <v>221</v>
      </c>
      <c r="B7" s="79"/>
      <c r="C7" s="79"/>
      <c r="D7" s="80" t="str">
        <f>VLOOKUP($D$2,福祉!$B$2:$AG$1010,6,FALSE)</f>
        <v>明上　廣男</v>
      </c>
      <c r="E7" s="81"/>
      <c r="F7" s="81"/>
      <c r="G7" s="81"/>
      <c r="H7" s="81"/>
      <c r="I7" s="81"/>
      <c r="J7" s="81"/>
      <c r="K7" s="82"/>
    </row>
    <row r="8" spans="1:25" ht="30" customHeight="1" x14ac:dyDescent="0.2">
      <c r="A8" s="78" t="s">
        <v>222</v>
      </c>
      <c r="B8" s="79"/>
      <c r="C8" s="79"/>
      <c r="D8" s="80" t="str">
        <f>VLOOKUP($D$2,福祉!$B$2:$AG$1010,8,FALSE)</f>
        <v>檜山郡上ノ国町字大留９６番地</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社会福祉法人上ノ国町社会福祉協議会</v>
      </c>
      <c r="E12" s="98"/>
      <c r="F12" s="98" t="str">
        <f>IFERROR(VLOOKUP($D$2,福祉!$B$2:$AG$1010,10,FALSE),0)</f>
        <v>檜山郡上ノ国町字大留９６番地</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檜山郡上ノ国町</v>
      </c>
      <c r="E14" s="93"/>
      <c r="F14" s="93"/>
      <c r="G14" s="93"/>
      <c r="H14" s="93"/>
      <c r="I14" s="93"/>
      <c r="J14" s="93"/>
      <c r="K14" s="94"/>
      <c r="O14" s="67"/>
      <c r="X14" s="67"/>
      <c r="Y14" s="56"/>
    </row>
    <row r="15" spans="1:25" ht="30" customHeight="1" x14ac:dyDescent="0.2">
      <c r="A15" s="90" t="s">
        <v>230</v>
      </c>
      <c r="B15" s="91"/>
      <c r="C15" s="91"/>
      <c r="D15" s="103" t="str">
        <f>VLOOKUP($D$2,福祉!$B$2:$AG$1010,16,FALSE)</f>
        <v>イロハニホヘト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社会福祉法人上ノ国町社会福祉協議会</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3</v>
      </c>
      <c r="G23" s="131">
        <f>IFERROR(VLOOKUP($D$2,福祉!$B$2:$AG$1010,23,FALSE),0)</f>
        <v>1</v>
      </c>
      <c r="H23" s="132">
        <f>IFERROR(VLOOKUP($D$2,福祉!$B$2:$AG$1010,25,FALSE),0)</f>
        <v>0</v>
      </c>
      <c r="I23" s="131">
        <f>IFERROR(VLOOKUP($D$2,福祉!$B$2:$AG$1010,27,FALSE),0)</f>
        <v>2</v>
      </c>
      <c r="J23" s="131">
        <f>IFERROR(VLOOKUP($D$2,福祉!$B$2:$AG$1010,29,FALSE),0)</f>
        <v>0</v>
      </c>
      <c r="K23" s="133">
        <f>SUM(E23:J23)</f>
        <v>6</v>
      </c>
    </row>
    <row r="24" spans="1:24" ht="19.8" x14ac:dyDescent="0.2">
      <c r="A24" s="127"/>
      <c r="B24" s="128"/>
      <c r="C24" s="134"/>
      <c r="D24" s="135"/>
      <c r="E24" s="136">
        <f>IFERROR(VLOOKUP($D$2,福祉!$B$2:$AG$1010,20,FALSE),0)</f>
        <v>0</v>
      </c>
      <c r="F24" s="136">
        <f>IFERROR(VLOOKUP($D$2,福祉!$B$2:$AG$1010,22,FALSE),0)</f>
        <v>1</v>
      </c>
      <c r="G24" s="136">
        <f>IFERROR(VLOOKUP($D$2,福祉!$B$2:$AG$1010,24,FALSE),0)</f>
        <v>0</v>
      </c>
      <c r="H24" s="136">
        <f>IFERROR(VLOOKUP($D$2,福祉!$B$2:$AG$1010,26,FALSE),0)</f>
        <v>0</v>
      </c>
      <c r="I24" s="137">
        <f>IFERROR(VLOOKUP($D$2,福祉!$B$2:$AG$3010,28,FALSE),0)</f>
        <v>1</v>
      </c>
      <c r="J24" s="138"/>
      <c r="K24" s="139">
        <f>SUM(E24:I24)</f>
        <v>2</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3</v>
      </c>
      <c r="G35" s="131">
        <f t="shared" si="0"/>
        <v>1</v>
      </c>
      <c r="H35" s="132">
        <f t="shared" si="0"/>
        <v>0</v>
      </c>
      <c r="I35" s="131">
        <f t="shared" si="0"/>
        <v>2</v>
      </c>
      <c r="J35" s="131">
        <f t="shared" si="0"/>
        <v>0</v>
      </c>
      <c r="K35" s="133">
        <f>SUM(E35:J35)</f>
        <v>6</v>
      </c>
    </row>
    <row r="36" spans="1:11" ht="20.399999999999999" thickBot="1" x14ac:dyDescent="0.25">
      <c r="A36" s="155"/>
      <c r="B36" s="156"/>
      <c r="C36" s="157"/>
      <c r="D36" s="158"/>
      <c r="E36" s="159">
        <f>SUM(E24+E27+E30+E33)</f>
        <v>0</v>
      </c>
      <c r="F36" s="159">
        <f>SUM(F24+F27+F30+F33)</f>
        <v>1</v>
      </c>
      <c r="G36" s="159">
        <f>SUM(G24+G27+G30+G33)</f>
        <v>0</v>
      </c>
      <c r="H36" s="159">
        <f>SUM(H24+H27+H30+H33)</f>
        <v>0</v>
      </c>
      <c r="I36" s="160">
        <f>SUM(I24+I27+I30+I33)</f>
        <v>1</v>
      </c>
      <c r="J36" s="161"/>
      <c r="K36" s="162">
        <f>SUM(E36:I36)</f>
        <v>2</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j4/GoS70n6lxmq3lnMyJsYIXiyA2/54g8q3b2jRUFm8HoHg/or6VzRP+6DqfiZlvv3iR+8dddaahDGD/Fy4DWA==" saltValue="YQBun8OOhUgIBeKRaRf8u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3EB26703-6B6F-4E3A-B68A-A22159EBEC40}">
      <formula1>"○"</formula1>
    </dataValidation>
    <dataValidation type="list" allowBlank="1" showInputMessage="1" sqref="A22:B33" xr:uid="{10C74758-07B7-49F7-BC2D-884281B1A96B}">
      <formula1>"交通空白地有償運送,福祉有償運送"</formula1>
    </dataValidation>
    <dataValidation allowBlank="1" showInputMessage="1" sqref="D2:K2" xr:uid="{A8023FB6-6AFB-429E-BB60-AFB96B73CC87}"/>
  </dataValidations>
  <hyperlinks>
    <hyperlink ref="O1:Q1" location="福祉!A1" display="福祉!A1" xr:uid="{D79C3C1E-2F61-4FAF-9C4A-562850507895}"/>
  </hyperlinks>
  <pageMargins left="0.25" right="0.25" top="0.75" bottom="0.75" header="0.3" footer="0.3"/>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E7D57-5B5C-4ED8-90FC-A008DFCC76D0}">
  <sheetPr codeName="Sheet36">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255</v>
      </c>
      <c r="E2" s="76"/>
      <c r="F2" s="76"/>
      <c r="G2" s="76"/>
      <c r="H2" s="76"/>
      <c r="I2" s="76"/>
      <c r="J2" s="76"/>
      <c r="K2" s="77"/>
    </row>
    <row r="3" spans="1:25" ht="30" customHeight="1" x14ac:dyDescent="0.2">
      <c r="A3" s="78" t="s">
        <v>217</v>
      </c>
      <c r="B3" s="79"/>
      <c r="C3" s="79"/>
      <c r="D3" s="80">
        <f>VLOOKUP($D$2,福祉!$B$2:$AG$1010,2,FALSE)</f>
        <v>38775</v>
      </c>
      <c r="E3" s="81"/>
      <c r="F3" s="81"/>
      <c r="G3" s="81"/>
      <c r="H3" s="81"/>
      <c r="I3" s="81"/>
      <c r="J3" s="81"/>
      <c r="K3" s="82"/>
    </row>
    <row r="4" spans="1:25" ht="30" customHeight="1" x14ac:dyDescent="0.2">
      <c r="A4" s="78" t="s">
        <v>218</v>
      </c>
      <c r="B4" s="79"/>
      <c r="C4" s="79"/>
      <c r="D4" s="80">
        <f>VLOOKUP($D$2,福祉!$B$2:$AG$1010,3,FALSE)</f>
        <v>44974</v>
      </c>
      <c r="E4" s="81"/>
      <c r="F4" s="81"/>
      <c r="G4" s="81"/>
      <c r="H4" s="81"/>
      <c r="I4" s="81"/>
      <c r="J4" s="81"/>
      <c r="K4" s="82"/>
    </row>
    <row r="5" spans="1:25" ht="30" customHeight="1" x14ac:dyDescent="0.2">
      <c r="A5" s="78" t="s">
        <v>219</v>
      </c>
      <c r="B5" s="79"/>
      <c r="C5" s="79"/>
      <c r="D5" s="80">
        <f>VLOOKUP($D$2,福祉!$B$2:$AG$1010,4,FALSE)</f>
        <v>46081</v>
      </c>
      <c r="E5" s="81"/>
      <c r="F5" s="81"/>
      <c r="G5" s="81"/>
      <c r="H5" s="81"/>
      <c r="I5" s="81"/>
      <c r="J5" s="81"/>
      <c r="K5" s="82"/>
    </row>
    <row r="6" spans="1:25" ht="30" customHeight="1" x14ac:dyDescent="0.2">
      <c r="A6" s="78" t="s">
        <v>220</v>
      </c>
      <c r="B6" s="79"/>
      <c r="C6" s="79"/>
      <c r="D6" s="80" t="str">
        <f>VLOOKUP($D$2,福祉!$B$2:$AG$1010,5,FALSE)</f>
        <v>社会福祉法人　江差町社会福祉協議会</v>
      </c>
      <c r="E6" s="81"/>
      <c r="F6" s="81"/>
      <c r="G6" s="81"/>
      <c r="H6" s="81"/>
      <c r="I6" s="81"/>
      <c r="J6" s="81"/>
      <c r="K6" s="82"/>
    </row>
    <row r="7" spans="1:25" ht="30" customHeight="1" x14ac:dyDescent="0.2">
      <c r="A7" s="78" t="s">
        <v>221</v>
      </c>
      <c r="B7" s="79"/>
      <c r="C7" s="79"/>
      <c r="D7" s="80" t="str">
        <f>VLOOKUP($D$2,福祉!$B$2:$AG$1010,6,FALSE)</f>
        <v>片石　明廣</v>
      </c>
      <c r="E7" s="81"/>
      <c r="F7" s="81"/>
      <c r="G7" s="81"/>
      <c r="H7" s="81"/>
      <c r="I7" s="81"/>
      <c r="J7" s="81"/>
      <c r="K7" s="82"/>
    </row>
    <row r="8" spans="1:25" ht="30" customHeight="1" x14ac:dyDescent="0.2">
      <c r="A8" s="78" t="s">
        <v>222</v>
      </c>
      <c r="B8" s="79"/>
      <c r="C8" s="79"/>
      <c r="D8" s="80" t="str">
        <f>VLOOKUP($D$2,福祉!$B$2:$AG$1010,8,FALSE)</f>
        <v>檜山郡江差町字新栄町２６４番地の２</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社会福祉法人江差町社会福祉協議会</v>
      </c>
      <c r="E12" s="98"/>
      <c r="F12" s="98" t="str">
        <f>IFERROR(VLOOKUP($D$2,福祉!$B$2:$AG$1010,10,FALSE),0)</f>
        <v>檜山郡江差町字新栄町２６４番地の２</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檜山郡江差町</v>
      </c>
      <c r="E14" s="93"/>
      <c r="F14" s="93"/>
      <c r="G14" s="93"/>
      <c r="H14" s="93"/>
      <c r="I14" s="93"/>
      <c r="J14" s="93"/>
      <c r="K14" s="94"/>
      <c r="O14" s="67"/>
      <c r="X14" s="67"/>
      <c r="Y14" s="56"/>
    </row>
    <row r="15" spans="1:25" ht="30" customHeight="1" x14ac:dyDescent="0.2">
      <c r="A15" s="90" t="s">
        <v>230</v>
      </c>
      <c r="B15" s="91"/>
      <c r="C15" s="91"/>
      <c r="D15" s="103" t="str">
        <f>VLOOKUP($D$2,福祉!$B$2:$AG$1010,16,FALSE)</f>
        <v>イロ　二ホへト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社会福祉法人江差町社会福祉協議会</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2</v>
      </c>
      <c r="G23" s="131">
        <f>IFERROR(VLOOKUP($D$2,福祉!$B$2:$AG$1010,23,FALSE),0)</f>
        <v>2</v>
      </c>
      <c r="H23" s="132">
        <f>IFERROR(VLOOKUP($D$2,福祉!$B$2:$AG$1010,25,FALSE),0)</f>
        <v>0</v>
      </c>
      <c r="I23" s="131">
        <f>IFERROR(VLOOKUP($D$2,福祉!$B$2:$AG$1010,27,FALSE),0)</f>
        <v>6</v>
      </c>
      <c r="J23" s="131">
        <f>IFERROR(VLOOKUP($D$2,福祉!$B$2:$AG$1010,29,FALSE),0)</f>
        <v>0</v>
      </c>
      <c r="K23" s="133">
        <f>SUM(E23:J23)</f>
        <v>10</v>
      </c>
    </row>
    <row r="24" spans="1:24" ht="19.8" x14ac:dyDescent="0.2">
      <c r="A24" s="127"/>
      <c r="B24" s="128"/>
      <c r="C24" s="134"/>
      <c r="D24" s="135"/>
      <c r="E24" s="136">
        <f>IFERROR(VLOOKUP($D$2,福祉!$B$2:$AG$1010,20,FALSE),0)</f>
        <v>0</v>
      </c>
      <c r="F24" s="136">
        <f>IFERROR(VLOOKUP($D$2,福祉!$B$2:$AG$1010,22,FALSE),0)</f>
        <v>1</v>
      </c>
      <c r="G24" s="136">
        <f>IFERROR(VLOOKUP($D$2,福祉!$B$2:$AG$1010,24,FALSE),0)</f>
        <v>0</v>
      </c>
      <c r="H24" s="136">
        <f>IFERROR(VLOOKUP($D$2,福祉!$B$2:$AG$1010,26,FALSE),0)</f>
        <v>0</v>
      </c>
      <c r="I24" s="137">
        <f>IFERROR(VLOOKUP($D$2,福祉!$B$2:$AG$3010,28,FALSE),0)</f>
        <v>3</v>
      </c>
      <c r="J24" s="138"/>
      <c r="K24" s="139">
        <f>SUM(E24:I24)</f>
        <v>4</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2</v>
      </c>
      <c r="G35" s="131">
        <f t="shared" si="0"/>
        <v>2</v>
      </c>
      <c r="H35" s="132">
        <f t="shared" si="0"/>
        <v>0</v>
      </c>
      <c r="I35" s="131">
        <f t="shared" si="0"/>
        <v>6</v>
      </c>
      <c r="J35" s="131">
        <f t="shared" si="0"/>
        <v>0</v>
      </c>
      <c r="K35" s="133">
        <f>SUM(E35:J35)</f>
        <v>10</v>
      </c>
    </row>
    <row r="36" spans="1:11" ht="20.399999999999999" thickBot="1" x14ac:dyDescent="0.25">
      <c r="A36" s="155"/>
      <c r="B36" s="156"/>
      <c r="C36" s="157"/>
      <c r="D36" s="158"/>
      <c r="E36" s="159">
        <f>SUM(E24+E27+E30+E33)</f>
        <v>0</v>
      </c>
      <c r="F36" s="159">
        <f>SUM(F24+F27+F30+F33)</f>
        <v>1</v>
      </c>
      <c r="G36" s="159">
        <f>SUM(G24+G27+G30+G33)</f>
        <v>0</v>
      </c>
      <c r="H36" s="159">
        <f>SUM(H24+H27+H30+H33)</f>
        <v>0</v>
      </c>
      <c r="I36" s="160">
        <f>SUM(I24+I27+I30+I33)</f>
        <v>3</v>
      </c>
      <c r="J36" s="161"/>
      <c r="K36" s="162">
        <f>SUM(E36:I36)</f>
        <v>4</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zP77zhRBp2cYTNYwXYN4IoVjw3S6FlQuPkRdArg0waX7ZDH5kPbOj2cTU/uacIeAHUSX2IrRrwkNnFUQTQIjZA==" saltValue="ZxV4b6aFwL7agmBC4UTrp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C10D174F-A1E0-4054-B3E7-4AE5031DBA3F}">
      <formula1>"○"</formula1>
    </dataValidation>
    <dataValidation type="list" allowBlank="1" showInputMessage="1" sqref="A22:B33" xr:uid="{1CFD7BF4-C640-4043-BA0F-0B3537FC3CB7}">
      <formula1>"交通空白地有償運送,福祉有償運送"</formula1>
    </dataValidation>
    <dataValidation allowBlank="1" showInputMessage="1" sqref="D2:K2" xr:uid="{540A8062-A9C0-463C-9725-B1F96C2F7FB7}"/>
  </dataValidations>
  <hyperlinks>
    <hyperlink ref="O1:Q1" location="福祉!A1" display="福祉!A1" xr:uid="{AC01D656-DD5E-4D9B-99E2-1CC383776495}"/>
  </hyperlinks>
  <pageMargins left="0.25" right="0.25" top="0.75" bottom="0.75" header="0.3" footer="0.3"/>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6B4F1-BE12-4246-8910-C136F1515BEC}">
  <sheetPr codeName="Sheet37">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256</v>
      </c>
      <c r="E2" s="76"/>
      <c r="F2" s="76"/>
      <c r="G2" s="76"/>
      <c r="H2" s="76"/>
      <c r="I2" s="76"/>
      <c r="J2" s="76"/>
      <c r="K2" s="77"/>
    </row>
    <row r="3" spans="1:25" ht="30" customHeight="1" x14ac:dyDescent="0.2">
      <c r="A3" s="78" t="s">
        <v>217</v>
      </c>
      <c r="B3" s="79"/>
      <c r="C3" s="79"/>
      <c r="D3" s="80">
        <f>VLOOKUP($D$2,福祉!$B$2:$AG$1010,2,FALSE)</f>
        <v>38775</v>
      </c>
      <c r="E3" s="81"/>
      <c r="F3" s="81"/>
      <c r="G3" s="81"/>
      <c r="H3" s="81"/>
      <c r="I3" s="81"/>
      <c r="J3" s="81"/>
      <c r="K3" s="82"/>
    </row>
    <row r="4" spans="1:25" ht="30" customHeight="1" x14ac:dyDescent="0.2">
      <c r="A4" s="78" t="s">
        <v>218</v>
      </c>
      <c r="B4" s="79"/>
      <c r="C4" s="79"/>
      <c r="D4" s="80">
        <f>VLOOKUP($D$2,福祉!$B$2:$AG$1010,3,FALSE)</f>
        <v>44974</v>
      </c>
      <c r="E4" s="81"/>
      <c r="F4" s="81"/>
      <c r="G4" s="81"/>
      <c r="H4" s="81"/>
      <c r="I4" s="81"/>
      <c r="J4" s="81"/>
      <c r="K4" s="82"/>
    </row>
    <row r="5" spans="1:25" ht="30" customHeight="1" x14ac:dyDescent="0.2">
      <c r="A5" s="78" t="s">
        <v>219</v>
      </c>
      <c r="B5" s="79"/>
      <c r="C5" s="79"/>
      <c r="D5" s="80">
        <f>VLOOKUP($D$2,福祉!$B$2:$AG$1010,4,FALSE)</f>
        <v>46081</v>
      </c>
      <c r="E5" s="81"/>
      <c r="F5" s="81"/>
      <c r="G5" s="81"/>
      <c r="H5" s="81"/>
      <c r="I5" s="81"/>
      <c r="J5" s="81"/>
      <c r="K5" s="82"/>
    </row>
    <row r="6" spans="1:25" ht="30" customHeight="1" x14ac:dyDescent="0.2">
      <c r="A6" s="78" t="s">
        <v>220</v>
      </c>
      <c r="B6" s="79"/>
      <c r="C6" s="79"/>
      <c r="D6" s="80" t="str">
        <f>VLOOKUP($D$2,福祉!$B$2:$AG$1010,5,FALSE)</f>
        <v>医療法人　道南勤労者医療協会</v>
      </c>
      <c r="E6" s="81"/>
      <c r="F6" s="81"/>
      <c r="G6" s="81"/>
      <c r="H6" s="81"/>
      <c r="I6" s="81"/>
      <c r="J6" s="81"/>
      <c r="K6" s="82"/>
    </row>
    <row r="7" spans="1:25" ht="30" customHeight="1" x14ac:dyDescent="0.2">
      <c r="A7" s="78" t="s">
        <v>221</v>
      </c>
      <c r="B7" s="79"/>
      <c r="C7" s="79"/>
      <c r="D7" s="80" t="str">
        <f>VLOOKUP($D$2,福祉!$B$2:$AG$1010,6,FALSE)</f>
        <v>佐々木　悟</v>
      </c>
      <c r="E7" s="81"/>
      <c r="F7" s="81"/>
      <c r="G7" s="81"/>
      <c r="H7" s="81"/>
      <c r="I7" s="81"/>
      <c r="J7" s="81"/>
      <c r="K7" s="82"/>
    </row>
    <row r="8" spans="1:25" ht="30" customHeight="1" x14ac:dyDescent="0.2">
      <c r="A8" s="78" t="s">
        <v>222</v>
      </c>
      <c r="B8" s="79"/>
      <c r="C8" s="79"/>
      <c r="D8" s="80" t="str">
        <f>VLOOKUP($D$2,福祉!$B$2:$AG$1010,8,FALSE)</f>
        <v>函館市中道２丁目５１番１号</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ヘルパーステーションゆいっこ</v>
      </c>
      <c r="E12" s="98"/>
      <c r="F12" s="98" t="str">
        <f>IFERROR(VLOOKUP($D$2,福祉!$B$2:$AG$1010,10,FALSE),0)</f>
        <v>檜山郡江差町字中歌町１９９番６号</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檜山郡江差町</v>
      </c>
      <c r="E14" s="93"/>
      <c r="F14" s="93"/>
      <c r="G14" s="93"/>
      <c r="H14" s="93"/>
      <c r="I14" s="93"/>
      <c r="J14" s="93"/>
      <c r="K14" s="94"/>
      <c r="O14" s="67"/>
      <c r="X14" s="67"/>
      <c r="Y14" s="56"/>
    </row>
    <row r="15" spans="1:25" ht="30" customHeight="1" x14ac:dyDescent="0.2">
      <c r="A15" s="90" t="s">
        <v>230</v>
      </c>
      <c r="B15" s="91"/>
      <c r="C15" s="91"/>
      <c r="D15" s="103" t="str">
        <f>VLOOKUP($D$2,福祉!$B$2:$AG$1010,16,FALSE)</f>
        <v>イロハ二ホ　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ヘルパーステーションゆいっこ</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1</v>
      </c>
      <c r="G23" s="131">
        <f>IFERROR(VLOOKUP($D$2,福祉!$B$2:$AG$1010,23,FALSE),0)</f>
        <v>0</v>
      </c>
      <c r="H23" s="132">
        <f>IFERROR(VLOOKUP($D$2,福祉!$B$2:$AG$1010,25,FALSE),0)</f>
        <v>0</v>
      </c>
      <c r="I23" s="131">
        <f>IFERROR(VLOOKUP($D$2,福祉!$B$2:$AG$1010,27,FALSE),0)</f>
        <v>1</v>
      </c>
      <c r="J23" s="131">
        <f>IFERROR(VLOOKUP($D$2,福祉!$B$2:$AG$1010,29,FALSE),0)</f>
        <v>0</v>
      </c>
      <c r="K23" s="133">
        <f>SUM(E23:J23)</f>
        <v>2</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0</v>
      </c>
      <c r="I24" s="137">
        <f>IFERROR(VLOOKUP($D$2,福祉!$B$2:$AG$3010,28,FALSE),0)</f>
        <v>1</v>
      </c>
      <c r="J24" s="138"/>
      <c r="K24" s="139">
        <f>SUM(E24:I24)</f>
        <v>1</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1</v>
      </c>
      <c r="G35" s="131">
        <f t="shared" si="0"/>
        <v>0</v>
      </c>
      <c r="H35" s="132">
        <f t="shared" si="0"/>
        <v>0</v>
      </c>
      <c r="I35" s="131">
        <f t="shared" si="0"/>
        <v>1</v>
      </c>
      <c r="J35" s="131">
        <f t="shared" si="0"/>
        <v>0</v>
      </c>
      <c r="K35" s="133">
        <f>SUM(E35:J35)</f>
        <v>2</v>
      </c>
    </row>
    <row r="36" spans="1:11" ht="20.399999999999999" thickBot="1" x14ac:dyDescent="0.25">
      <c r="A36" s="155"/>
      <c r="B36" s="156"/>
      <c r="C36" s="157"/>
      <c r="D36" s="158"/>
      <c r="E36" s="159">
        <f>SUM(E24+E27+E30+E33)</f>
        <v>0</v>
      </c>
      <c r="F36" s="159">
        <f>SUM(F24+F27+F30+F33)</f>
        <v>0</v>
      </c>
      <c r="G36" s="159">
        <f>SUM(G24+G27+G30+G33)</f>
        <v>0</v>
      </c>
      <c r="H36" s="159">
        <f>SUM(H24+H27+H30+H33)</f>
        <v>0</v>
      </c>
      <c r="I36" s="160">
        <f>SUM(I24+I27+I30+I33)</f>
        <v>1</v>
      </c>
      <c r="J36" s="161"/>
      <c r="K36" s="162">
        <f>SUM(E36:I36)</f>
        <v>1</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n3bwTwZFdedm8fD5W5ywJcVKmNKCwh/eD5Vn7piVDgLnTm5+/trfeAjaq7yr5UMWC2iBaAdgRIz/91oNPAcZ1w==" saltValue="qitaInvyeTZQ0x10wgRqB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2C9D2586-9BDD-4F29-B427-D0B8D85064FF}">
      <formula1>"○"</formula1>
    </dataValidation>
    <dataValidation type="list" allowBlank="1" showInputMessage="1" sqref="A22:B33" xr:uid="{EE4F43E4-929D-4714-9A93-B6065C49F716}">
      <formula1>"交通空白地有償運送,福祉有償運送"</formula1>
    </dataValidation>
    <dataValidation allowBlank="1" showInputMessage="1" sqref="D2:K2" xr:uid="{41148F85-410B-4E4A-80D7-7BE946F399C7}"/>
  </dataValidations>
  <hyperlinks>
    <hyperlink ref="O1:Q1" location="福祉!A1" display="福祉!A1" xr:uid="{CC16B504-5091-40A6-A4DF-0D64954205AB}"/>
  </hyperlinks>
  <pageMargins left="0.25" right="0.25" top="0.75" bottom="0.75" header="0.3" footer="0.3"/>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405AC-2254-4FDD-83AD-59A591DA8389}">
  <sheetPr codeName="Sheet39">
    <tabColor rgb="FFFABF8F"/>
  </sheetPr>
  <dimension ref="A1:Y38"/>
  <sheetViews>
    <sheetView view="pageBreakPreview" topLeftCell="A7"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257</v>
      </c>
      <c r="E2" s="76"/>
      <c r="F2" s="76"/>
      <c r="G2" s="76"/>
      <c r="H2" s="76"/>
      <c r="I2" s="76"/>
      <c r="J2" s="76"/>
      <c r="K2" s="77"/>
    </row>
    <row r="3" spans="1:25" ht="30" customHeight="1" x14ac:dyDescent="0.2">
      <c r="A3" s="78" t="s">
        <v>217</v>
      </c>
      <c r="B3" s="79"/>
      <c r="C3" s="79"/>
      <c r="D3" s="80">
        <f>VLOOKUP($D$2,福祉!$B$2:$AG$1010,2,FALSE)</f>
        <v>38989</v>
      </c>
      <c r="E3" s="81"/>
      <c r="F3" s="81"/>
      <c r="G3" s="81"/>
      <c r="H3" s="81"/>
      <c r="I3" s="81"/>
      <c r="J3" s="81"/>
      <c r="K3" s="82"/>
    </row>
    <row r="4" spans="1:25" ht="30" customHeight="1" x14ac:dyDescent="0.2">
      <c r="A4" s="78" t="s">
        <v>218</v>
      </c>
      <c r="B4" s="79"/>
      <c r="C4" s="79"/>
      <c r="D4" s="80">
        <f>VLOOKUP($D$2,福祉!$B$2:$AG$1010,3,FALSE)</f>
        <v>45200</v>
      </c>
      <c r="E4" s="81"/>
      <c r="F4" s="81"/>
      <c r="G4" s="81"/>
      <c r="H4" s="81"/>
      <c r="I4" s="81"/>
      <c r="J4" s="81"/>
      <c r="K4" s="82"/>
    </row>
    <row r="5" spans="1:25" ht="30" customHeight="1" x14ac:dyDescent="0.2">
      <c r="A5" s="78" t="s">
        <v>219</v>
      </c>
      <c r="B5" s="79"/>
      <c r="C5" s="79"/>
      <c r="D5" s="80">
        <f>VLOOKUP($D$2,福祉!$B$2:$AG$1010,4,FALSE)</f>
        <v>46295</v>
      </c>
      <c r="E5" s="81"/>
      <c r="F5" s="81"/>
      <c r="G5" s="81"/>
      <c r="H5" s="81"/>
      <c r="I5" s="81"/>
      <c r="J5" s="81"/>
      <c r="K5" s="82"/>
    </row>
    <row r="6" spans="1:25" ht="30" customHeight="1" x14ac:dyDescent="0.2">
      <c r="A6" s="78" t="s">
        <v>220</v>
      </c>
      <c r="B6" s="79"/>
      <c r="C6" s="79"/>
      <c r="D6" s="80" t="str">
        <f>VLOOKUP($D$2,福祉!$B$2:$AG$1010,5,FALSE)</f>
        <v>社会福祉法人　七飯町社会福祉協議会</v>
      </c>
      <c r="E6" s="81"/>
      <c r="F6" s="81"/>
      <c r="G6" s="81"/>
      <c r="H6" s="81"/>
      <c r="I6" s="81"/>
      <c r="J6" s="81"/>
      <c r="K6" s="82"/>
    </row>
    <row r="7" spans="1:25" ht="30" customHeight="1" x14ac:dyDescent="0.2">
      <c r="A7" s="78" t="s">
        <v>221</v>
      </c>
      <c r="B7" s="79"/>
      <c r="C7" s="79"/>
      <c r="D7" s="80" t="str">
        <f>VLOOKUP($D$2,福祉!$B$2:$AG$1010,6,FALSE)</f>
        <v>伊藤　千惠子</v>
      </c>
      <c r="E7" s="81"/>
      <c r="F7" s="81"/>
      <c r="G7" s="81"/>
      <c r="H7" s="81"/>
      <c r="I7" s="81"/>
      <c r="J7" s="81"/>
      <c r="K7" s="82"/>
    </row>
    <row r="8" spans="1:25" ht="30" customHeight="1" x14ac:dyDescent="0.2">
      <c r="A8" s="78" t="s">
        <v>222</v>
      </c>
      <c r="B8" s="79"/>
      <c r="C8" s="79"/>
      <c r="D8" s="80" t="str">
        <f>VLOOKUP($D$2,福祉!$B$2:$AG$1010,8,FALSE)</f>
        <v>亀田郡七飯町本町４丁目８番１号</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社会福祉法人七飯町社会福祉協議会</v>
      </c>
      <c r="E12" s="98"/>
      <c r="F12" s="98" t="str">
        <f>IFERROR(VLOOKUP($D$2,福祉!$B$2:$AG$1010,10,FALSE),0)</f>
        <v>亀田郡七飯町本町４丁目８番１号</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亀田郡七飯町</v>
      </c>
      <c r="E14" s="93"/>
      <c r="F14" s="93"/>
      <c r="G14" s="93"/>
      <c r="H14" s="93"/>
      <c r="I14" s="93"/>
      <c r="J14" s="93"/>
      <c r="K14" s="94"/>
      <c r="O14" s="67"/>
      <c r="X14" s="67"/>
      <c r="Y14" s="56"/>
    </row>
    <row r="15" spans="1:25" ht="30" customHeight="1" x14ac:dyDescent="0.2">
      <c r="A15" s="90" t="s">
        <v>230</v>
      </c>
      <c r="B15" s="91"/>
      <c r="C15" s="91"/>
      <c r="D15" s="103" t="str">
        <f>VLOOKUP($D$2,福祉!$B$2:$AG$1010,16,FALSE)</f>
        <v>イロ　ニ</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社会福祉法人七飯町社会福祉協議会</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0</v>
      </c>
      <c r="G23" s="131">
        <f>IFERROR(VLOOKUP($D$2,福祉!$B$2:$AG$1010,23,FALSE),0)</f>
        <v>1</v>
      </c>
      <c r="H23" s="132">
        <f>IFERROR(VLOOKUP($D$2,福祉!$B$2:$AG$1010,25,FALSE),0)</f>
        <v>0</v>
      </c>
      <c r="I23" s="131">
        <f>IFERROR(VLOOKUP($D$2,福祉!$B$2:$AG$1010,27,FALSE),0)</f>
        <v>0</v>
      </c>
      <c r="J23" s="131">
        <f>IFERROR(VLOOKUP($D$2,福祉!$B$2:$AG$1010,29,FALSE),0)</f>
        <v>0</v>
      </c>
      <c r="K23" s="133">
        <f>SUM(E23:J23)</f>
        <v>1</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0</v>
      </c>
      <c r="I24" s="137">
        <f>IFERROR(VLOOKUP($D$2,福祉!$B$2:$AG$3010,28,FALSE),0)</f>
        <v>0</v>
      </c>
      <c r="J24" s="138"/>
      <c r="K24" s="139">
        <f>SUM(E24:I24)</f>
        <v>0</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0</v>
      </c>
      <c r="G35" s="131">
        <f t="shared" si="0"/>
        <v>1</v>
      </c>
      <c r="H35" s="132">
        <f t="shared" si="0"/>
        <v>0</v>
      </c>
      <c r="I35" s="131">
        <f t="shared" si="0"/>
        <v>0</v>
      </c>
      <c r="J35" s="131">
        <f t="shared" si="0"/>
        <v>0</v>
      </c>
      <c r="K35" s="133">
        <f>SUM(E35:J35)</f>
        <v>1</v>
      </c>
    </row>
    <row r="36" spans="1:11" ht="20.399999999999999" thickBot="1" x14ac:dyDescent="0.25">
      <c r="A36" s="155"/>
      <c r="B36" s="156"/>
      <c r="C36" s="157"/>
      <c r="D36" s="158"/>
      <c r="E36" s="159">
        <f>SUM(E24+E27+E30+E33)</f>
        <v>0</v>
      </c>
      <c r="F36" s="159">
        <f>SUM(F24+F27+F30+F33)</f>
        <v>0</v>
      </c>
      <c r="G36" s="159">
        <f>SUM(G24+G27+G30+G33)</f>
        <v>0</v>
      </c>
      <c r="H36" s="159">
        <f>SUM(H24+H27+H30+H33)</f>
        <v>0</v>
      </c>
      <c r="I36" s="160">
        <f>SUM(I24+I27+I30+I33)</f>
        <v>0</v>
      </c>
      <c r="J36" s="161"/>
      <c r="K36" s="162">
        <f>SUM(E36:I36)</f>
        <v>0</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6CbE2o3nZM9IOOTtHgQSxRb3zD1EfNVvgB4vflQpaZsqEbQkPLoEbi8pxfzDbXtfMnR42gQ3AnQ/NFYBneGpaw==" saltValue="fUldHB7wFxtOZzceJLstX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87245AC-0159-4D02-A059-84B5066B0648}">
      <formula1>"○"</formula1>
    </dataValidation>
    <dataValidation type="list" allowBlank="1" showInputMessage="1" sqref="A22:B33" xr:uid="{3A5AFD7A-B360-461C-AEE4-C0F8956F3678}">
      <formula1>"交通空白地有償運送,福祉有償運送"</formula1>
    </dataValidation>
    <dataValidation allowBlank="1" showInputMessage="1" sqref="D2:K2" xr:uid="{52822FF7-ADF5-439E-B54F-6CDFE43C5346}"/>
  </dataValidations>
  <hyperlinks>
    <hyperlink ref="O1:Q1" location="福祉!A1" display="福祉!A1" xr:uid="{4A6207E0-58BB-4304-BE14-E3FAD917D8AB}"/>
  </hyperlinks>
  <pageMargins left="0.25" right="0.25" top="0.75" bottom="0.75" header="0.3" footer="0.3"/>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4DA1F-0E7E-4B50-8282-A4C4B489AEFF}">
  <sheetPr codeName="Sheet40">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258</v>
      </c>
      <c r="E2" s="76"/>
      <c r="F2" s="76"/>
      <c r="G2" s="76"/>
      <c r="H2" s="76"/>
      <c r="I2" s="76"/>
      <c r="J2" s="76"/>
      <c r="K2" s="77"/>
    </row>
    <row r="3" spans="1:25" ht="30" customHeight="1" x14ac:dyDescent="0.2">
      <c r="A3" s="78" t="s">
        <v>217</v>
      </c>
      <c r="B3" s="79"/>
      <c r="C3" s="79"/>
      <c r="D3" s="80">
        <f>VLOOKUP($D$2,福祉!$B$2:$AG$1010,2,FALSE)</f>
        <v>39951</v>
      </c>
      <c r="E3" s="81"/>
      <c r="F3" s="81"/>
      <c r="G3" s="81"/>
      <c r="H3" s="81"/>
      <c r="I3" s="81"/>
      <c r="J3" s="81"/>
      <c r="K3" s="82"/>
    </row>
    <row r="4" spans="1:25" ht="30" customHeight="1" x14ac:dyDescent="0.2">
      <c r="A4" s="78" t="s">
        <v>218</v>
      </c>
      <c r="B4" s="79"/>
      <c r="C4" s="79"/>
      <c r="D4" s="80">
        <f>VLOOKUP($D$2,福祉!$B$2:$AG$1010,3,FALSE)</f>
        <v>45077</v>
      </c>
      <c r="E4" s="81"/>
      <c r="F4" s="81"/>
      <c r="G4" s="81"/>
      <c r="H4" s="81"/>
      <c r="I4" s="81"/>
      <c r="J4" s="81"/>
      <c r="K4" s="82"/>
    </row>
    <row r="5" spans="1:25" ht="30" customHeight="1" x14ac:dyDescent="0.2">
      <c r="A5" s="78" t="s">
        <v>219</v>
      </c>
      <c r="B5" s="79"/>
      <c r="C5" s="79"/>
      <c r="D5" s="80">
        <f>VLOOKUP($D$2,福祉!$B$2:$AG$1010,4,FALSE)</f>
        <v>46173</v>
      </c>
      <c r="E5" s="81"/>
      <c r="F5" s="81"/>
      <c r="G5" s="81"/>
      <c r="H5" s="81"/>
      <c r="I5" s="81"/>
      <c r="J5" s="81"/>
      <c r="K5" s="82"/>
    </row>
    <row r="6" spans="1:25" ht="30" customHeight="1" x14ac:dyDescent="0.2">
      <c r="A6" s="78" t="s">
        <v>220</v>
      </c>
      <c r="B6" s="79"/>
      <c r="C6" s="79"/>
      <c r="D6" s="80" t="str">
        <f>VLOOKUP($D$2,福祉!$B$2:$AG$1010,5,FALSE)</f>
        <v>社会福祉法人　北斗市社会福祉協議会</v>
      </c>
      <c r="E6" s="81"/>
      <c r="F6" s="81"/>
      <c r="G6" s="81"/>
      <c r="H6" s="81"/>
      <c r="I6" s="81"/>
      <c r="J6" s="81"/>
      <c r="K6" s="82"/>
    </row>
    <row r="7" spans="1:25" ht="30" customHeight="1" x14ac:dyDescent="0.2">
      <c r="A7" s="78" t="s">
        <v>221</v>
      </c>
      <c r="B7" s="79"/>
      <c r="C7" s="79"/>
      <c r="D7" s="80" t="str">
        <f>VLOOKUP($D$2,福祉!$B$2:$AG$1010,6,FALSE)</f>
        <v>三上　裕子</v>
      </c>
      <c r="E7" s="81"/>
      <c r="F7" s="81"/>
      <c r="G7" s="81"/>
      <c r="H7" s="81"/>
      <c r="I7" s="81"/>
      <c r="J7" s="81"/>
      <c r="K7" s="82"/>
    </row>
    <row r="8" spans="1:25" ht="30" customHeight="1" x14ac:dyDescent="0.2">
      <c r="A8" s="78" t="s">
        <v>222</v>
      </c>
      <c r="B8" s="79"/>
      <c r="C8" s="79"/>
      <c r="D8" s="80" t="str">
        <f>VLOOKUP($D$2,福祉!$B$2:$AG$1010,8,FALSE)</f>
        <v>北斗市中野通２丁目１８番１号</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社会福祉法人北斗市社会福祉協議会</v>
      </c>
      <c r="E12" s="98"/>
      <c r="F12" s="98" t="str">
        <f>IFERROR(VLOOKUP($D$2,福祉!$B$2:$AG$1010,10,FALSE),0)</f>
        <v>北斗市中野通２丁目１８番１号（北斗市保健センター内）</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北斗市</v>
      </c>
      <c r="E14" s="93"/>
      <c r="F14" s="93"/>
      <c r="G14" s="93"/>
      <c r="H14" s="93"/>
      <c r="I14" s="93"/>
      <c r="J14" s="93"/>
      <c r="K14" s="94"/>
      <c r="O14" s="67"/>
      <c r="X14" s="67"/>
      <c r="Y14" s="56"/>
    </row>
    <row r="15" spans="1:25" ht="30" customHeight="1" x14ac:dyDescent="0.2">
      <c r="A15" s="90" t="s">
        <v>230</v>
      </c>
      <c r="B15" s="91"/>
      <c r="C15" s="91"/>
      <c r="D15" s="103" t="str">
        <f>VLOOKUP($D$2,福祉!$B$2:$AG$1010,16,FALSE)</f>
        <v>イロハニ　　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社会福祉法人北斗市社会福祉協議会</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2</v>
      </c>
      <c r="G23" s="131">
        <f>IFERROR(VLOOKUP($D$2,福祉!$B$2:$AG$1010,23,FALSE),0)</f>
        <v>1</v>
      </c>
      <c r="H23" s="132">
        <f>IFERROR(VLOOKUP($D$2,福祉!$B$2:$AG$1010,25,FALSE),0)</f>
        <v>0</v>
      </c>
      <c r="I23" s="131">
        <f>IFERROR(VLOOKUP($D$2,福祉!$B$2:$AG$1010,27,FALSE),0)</f>
        <v>1</v>
      </c>
      <c r="J23" s="131">
        <f>IFERROR(VLOOKUP($D$2,福祉!$B$2:$AG$1010,29,FALSE),0)</f>
        <v>0</v>
      </c>
      <c r="K23" s="133">
        <f>SUM(E23:J23)</f>
        <v>4</v>
      </c>
    </row>
    <row r="24" spans="1:24" ht="19.8" x14ac:dyDescent="0.2">
      <c r="A24" s="127"/>
      <c r="B24" s="128"/>
      <c r="C24" s="134"/>
      <c r="D24" s="135"/>
      <c r="E24" s="136">
        <f>IFERROR(VLOOKUP($D$2,福祉!$B$2:$AG$1010,20,FALSE),0)</f>
        <v>0</v>
      </c>
      <c r="F24" s="136">
        <f>IFERROR(VLOOKUP($D$2,福祉!$B$2:$AG$1010,22,FALSE),0)</f>
        <v>1</v>
      </c>
      <c r="G24" s="136">
        <f>IFERROR(VLOOKUP($D$2,福祉!$B$2:$AG$1010,24,FALSE),0)</f>
        <v>0</v>
      </c>
      <c r="H24" s="136">
        <f>IFERROR(VLOOKUP($D$2,福祉!$B$2:$AG$1010,26,FALSE),0)</f>
        <v>0</v>
      </c>
      <c r="I24" s="137">
        <f>IFERROR(VLOOKUP($D$2,福祉!$B$2:$AG$3010,28,FALSE),0)</f>
        <v>1</v>
      </c>
      <c r="J24" s="138"/>
      <c r="K24" s="139">
        <f>SUM(E24:I24)</f>
        <v>2</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2</v>
      </c>
      <c r="G35" s="131">
        <f t="shared" si="0"/>
        <v>1</v>
      </c>
      <c r="H35" s="132">
        <f t="shared" si="0"/>
        <v>0</v>
      </c>
      <c r="I35" s="131">
        <f t="shared" si="0"/>
        <v>1</v>
      </c>
      <c r="J35" s="131">
        <f t="shared" si="0"/>
        <v>0</v>
      </c>
      <c r="K35" s="133">
        <f>SUM(E35:J35)</f>
        <v>4</v>
      </c>
    </row>
    <row r="36" spans="1:11" ht="20.399999999999999" thickBot="1" x14ac:dyDescent="0.25">
      <c r="A36" s="155"/>
      <c r="B36" s="156"/>
      <c r="C36" s="157"/>
      <c r="D36" s="158"/>
      <c r="E36" s="159">
        <f>SUM(E24+E27+E30+E33)</f>
        <v>0</v>
      </c>
      <c r="F36" s="159">
        <f>SUM(F24+F27+F30+F33)</f>
        <v>1</v>
      </c>
      <c r="G36" s="159">
        <f>SUM(G24+G27+G30+G33)</f>
        <v>0</v>
      </c>
      <c r="H36" s="159">
        <f>SUM(H24+H27+H30+H33)</f>
        <v>0</v>
      </c>
      <c r="I36" s="160">
        <f>SUM(I24+I27+I30+I33)</f>
        <v>1</v>
      </c>
      <c r="J36" s="161"/>
      <c r="K36" s="162">
        <f>SUM(E36:I36)</f>
        <v>2</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p8WLESsjdOFi+s6egiCrSx6pSrdhl9Nhr9jSWhvSB9XhTLzej5YScbjim1J1xjU5PqK9Tmogdp6pxfc0lPDpQw==" saltValue="duhP1HKgF4OV0MIJL/6Ta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08EBE246-D9E9-45A6-A269-915DFC62E472}">
      <formula1>"○"</formula1>
    </dataValidation>
    <dataValidation type="list" allowBlank="1" showInputMessage="1" sqref="A22:B33" xr:uid="{CE1E5B10-899F-4565-9C45-9835FCAAA6D8}">
      <formula1>"交通空白地有償運送,福祉有償運送"</formula1>
    </dataValidation>
    <dataValidation allowBlank="1" showInputMessage="1" sqref="D2:K2" xr:uid="{DCE3DE36-8AE6-4778-BDFB-BFFA48CD9799}"/>
  </dataValidations>
  <hyperlinks>
    <hyperlink ref="O1:Q1" location="福祉!A1" display="福祉!A1" xr:uid="{AA2E39D8-C0B8-4194-8BE4-83DE06B917F5}"/>
  </hyperlinks>
  <pageMargins left="0.25" right="0.25" top="0.75" bottom="0.75" header="0.3" footer="0.3"/>
  <pageSetup paperSize="9" scale="9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05D0E-C0F4-4DB8-B102-4648896DBA7E}">
  <sheetPr codeName="Sheet41">
    <tabColor rgb="FFFABF8F"/>
  </sheetPr>
  <dimension ref="A1:Y38"/>
  <sheetViews>
    <sheetView view="pageBreakPreview" topLeftCell="A13" zoomScaleNormal="100" zoomScaleSheetLayoutView="10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259</v>
      </c>
      <c r="E2" s="76"/>
      <c r="F2" s="76"/>
      <c r="G2" s="76"/>
      <c r="H2" s="76"/>
      <c r="I2" s="76"/>
      <c r="J2" s="76"/>
      <c r="K2" s="77"/>
    </row>
    <row r="3" spans="1:25" ht="30" customHeight="1" x14ac:dyDescent="0.2">
      <c r="A3" s="78" t="s">
        <v>217</v>
      </c>
      <c r="B3" s="79"/>
      <c r="C3" s="79"/>
      <c r="D3" s="80">
        <f>VLOOKUP($D$2,福祉!$B$2:$AG$1010,2,FALSE)</f>
        <v>40017</v>
      </c>
      <c r="E3" s="81"/>
      <c r="F3" s="81"/>
      <c r="G3" s="81"/>
      <c r="H3" s="81"/>
      <c r="I3" s="81"/>
      <c r="J3" s="81"/>
      <c r="K3" s="82"/>
    </row>
    <row r="4" spans="1:25" ht="30" customHeight="1" x14ac:dyDescent="0.2">
      <c r="A4" s="78" t="s">
        <v>218</v>
      </c>
      <c r="B4" s="79"/>
      <c r="C4" s="79"/>
      <c r="D4" s="80">
        <f>VLOOKUP($D$2,福祉!$B$2:$AG$1010,3,FALSE)</f>
        <v>45083</v>
      </c>
      <c r="E4" s="81"/>
      <c r="F4" s="81"/>
      <c r="G4" s="81"/>
      <c r="H4" s="81"/>
      <c r="I4" s="81"/>
      <c r="J4" s="81"/>
      <c r="K4" s="82"/>
    </row>
    <row r="5" spans="1:25" ht="30" customHeight="1" x14ac:dyDescent="0.2">
      <c r="A5" s="78" t="s">
        <v>219</v>
      </c>
      <c r="B5" s="79"/>
      <c r="C5" s="79"/>
      <c r="D5" s="80">
        <f>VLOOKUP($D$2,福祉!$B$2:$AG$1010,4,FALSE)</f>
        <v>46173</v>
      </c>
      <c r="E5" s="81"/>
      <c r="F5" s="81"/>
      <c r="G5" s="81"/>
      <c r="H5" s="81"/>
      <c r="I5" s="81"/>
      <c r="J5" s="81"/>
      <c r="K5" s="82"/>
    </row>
    <row r="6" spans="1:25" ht="30" customHeight="1" x14ac:dyDescent="0.2">
      <c r="A6" s="78" t="s">
        <v>220</v>
      </c>
      <c r="B6" s="79"/>
      <c r="C6" s="79"/>
      <c r="D6" s="80" t="str">
        <f>VLOOKUP($D$2,福祉!$B$2:$AG$1010,5,FALSE)</f>
        <v>社会福祉法人　上磯はまなす</v>
      </c>
      <c r="E6" s="81"/>
      <c r="F6" s="81"/>
      <c r="G6" s="81"/>
      <c r="H6" s="81"/>
      <c r="I6" s="81"/>
      <c r="J6" s="81"/>
      <c r="K6" s="82"/>
    </row>
    <row r="7" spans="1:25" ht="30" customHeight="1" x14ac:dyDescent="0.2">
      <c r="A7" s="78" t="s">
        <v>221</v>
      </c>
      <c r="B7" s="79"/>
      <c r="C7" s="79"/>
      <c r="D7" s="80" t="str">
        <f>VLOOKUP($D$2,福祉!$B$2:$AG$1010,6,FALSE)</f>
        <v>新山　正儀</v>
      </c>
      <c r="E7" s="81"/>
      <c r="F7" s="81"/>
      <c r="G7" s="81"/>
      <c r="H7" s="81"/>
      <c r="I7" s="81"/>
      <c r="J7" s="81"/>
      <c r="K7" s="82"/>
    </row>
    <row r="8" spans="1:25" ht="30" customHeight="1" x14ac:dyDescent="0.2">
      <c r="A8" s="78" t="s">
        <v>222</v>
      </c>
      <c r="B8" s="79"/>
      <c r="C8" s="79"/>
      <c r="D8" s="80" t="str">
        <f>VLOOKUP($D$2,福祉!$B$2:$AG$1010,8,FALSE)</f>
        <v>北斗市野崎１９９番地の１</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移送サービス事業部はまなすの里</v>
      </c>
      <c r="E12" s="98"/>
      <c r="F12" s="98" t="str">
        <f>IFERROR(VLOOKUP($D$2,福祉!$B$2:$AG$1010,10,FALSE),0)</f>
        <v>北斗市中野通３丁目１９番９号</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北斗市</v>
      </c>
      <c r="E14" s="93"/>
      <c r="F14" s="93"/>
      <c r="G14" s="93"/>
      <c r="H14" s="93"/>
      <c r="I14" s="93"/>
      <c r="J14" s="93"/>
      <c r="K14" s="94"/>
      <c r="O14" s="67"/>
      <c r="X14" s="67"/>
      <c r="Y14" s="56"/>
    </row>
    <row r="15" spans="1:25" ht="30" customHeight="1" x14ac:dyDescent="0.2">
      <c r="A15" s="90" t="s">
        <v>230</v>
      </c>
      <c r="B15" s="91"/>
      <c r="C15" s="91"/>
      <c r="D15" s="103" t="str">
        <f>VLOOKUP($D$2,福祉!$B$2:$AG$1010,16,FALSE)</f>
        <v>　　　二</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移送サービス事業部はまなすの里</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6</v>
      </c>
      <c r="G23" s="131">
        <f>IFERROR(VLOOKUP($D$2,福祉!$B$2:$AG$1010,23,FALSE),0)</f>
        <v>0</v>
      </c>
      <c r="H23" s="132">
        <f>IFERROR(VLOOKUP($D$2,福祉!$B$2:$AG$1010,25,FALSE),0)</f>
        <v>1</v>
      </c>
      <c r="I23" s="131">
        <f>IFERROR(VLOOKUP($D$2,福祉!$B$2:$AG$1010,27,FALSE),0)</f>
        <v>3</v>
      </c>
      <c r="J23" s="131">
        <f>IFERROR(VLOOKUP($D$2,福祉!$B$2:$AG$1010,29,FALSE),0)</f>
        <v>0</v>
      </c>
      <c r="K23" s="133">
        <f>SUM(E23:J23)</f>
        <v>10</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0</v>
      </c>
      <c r="I24" s="137">
        <f>IFERROR(VLOOKUP($D$2,福祉!$B$2:$AG$3010,28,FALSE),0)</f>
        <v>2</v>
      </c>
      <c r="J24" s="138"/>
      <c r="K24" s="139">
        <f>SUM(E24:I24)</f>
        <v>2</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6</v>
      </c>
      <c r="G35" s="131">
        <f t="shared" si="0"/>
        <v>0</v>
      </c>
      <c r="H35" s="132">
        <f t="shared" si="0"/>
        <v>1</v>
      </c>
      <c r="I35" s="131">
        <f t="shared" si="0"/>
        <v>3</v>
      </c>
      <c r="J35" s="131">
        <f t="shared" si="0"/>
        <v>0</v>
      </c>
      <c r="K35" s="133">
        <f>SUM(E35:J35)</f>
        <v>10</v>
      </c>
    </row>
    <row r="36" spans="1:11" ht="20.399999999999999" thickBot="1" x14ac:dyDescent="0.25">
      <c r="A36" s="155"/>
      <c r="B36" s="156"/>
      <c r="C36" s="157"/>
      <c r="D36" s="158"/>
      <c r="E36" s="159">
        <f>SUM(E24+E27+E30+E33)</f>
        <v>0</v>
      </c>
      <c r="F36" s="159">
        <f>SUM(F24+F27+F30+F33)</f>
        <v>0</v>
      </c>
      <c r="G36" s="159">
        <f>SUM(G24+G27+G30+G33)</f>
        <v>0</v>
      </c>
      <c r="H36" s="159">
        <f>SUM(H24+H27+H30+H33)</f>
        <v>0</v>
      </c>
      <c r="I36" s="160">
        <f>SUM(I24+I27+I30+I33)</f>
        <v>2</v>
      </c>
      <c r="J36" s="161"/>
      <c r="K36" s="162">
        <f>SUM(E36:I36)</f>
        <v>2</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RCq/vYVkIQFfJ6A8yDcLOBRoS62yrRd5cEKp7ubeEQ5ADxpSoodktm6YZRx7yRVj1K1zPMUD4odIfbsE6lfipg==" saltValue="6oIXInvz+qGZ/b8nyWgAM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079F8F56-D1D7-4F73-A337-99ABB5B56CAC}">
      <formula1>"○"</formula1>
    </dataValidation>
    <dataValidation type="list" allowBlank="1" showInputMessage="1" sqref="A22:B33" xr:uid="{CEAD353A-BF9B-490B-A196-E5459FF84D97}">
      <formula1>"交通空白地有償運送,福祉有償運送"</formula1>
    </dataValidation>
    <dataValidation allowBlank="1" showInputMessage="1" sqref="D2:K2" xr:uid="{BFF1B25A-76BE-419C-8030-A3C57504ED29}"/>
  </dataValidations>
  <hyperlinks>
    <hyperlink ref="O1:Q1" location="福祉!A1" display="福祉!A1" xr:uid="{CD81D846-D78C-48C3-87B1-A97C8480EC2C}"/>
  </hyperlinks>
  <pageMargins left="0.25" right="0.25" top="0.75" bottom="0.75" header="0.3" footer="0.3"/>
  <pageSetup paperSize="9" scale="9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11615-51FC-477F-87F2-099E45FD60FA}">
  <sheetPr codeName="Sheet42">
    <tabColor rgb="FFFABF8F"/>
  </sheetPr>
  <dimension ref="A1:Y38"/>
  <sheetViews>
    <sheetView view="pageBreakPreview" topLeftCell="A7"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260</v>
      </c>
      <c r="E2" s="76"/>
      <c r="F2" s="76"/>
      <c r="G2" s="76"/>
      <c r="H2" s="76"/>
      <c r="I2" s="76"/>
      <c r="J2" s="76"/>
      <c r="K2" s="77"/>
    </row>
    <row r="3" spans="1:25" ht="30" customHeight="1" x14ac:dyDescent="0.2">
      <c r="A3" s="78" t="s">
        <v>217</v>
      </c>
      <c r="B3" s="79"/>
      <c r="C3" s="79"/>
      <c r="D3" s="80">
        <f>VLOOKUP($D$2,福祉!$B$2:$AG$1010,2,FALSE)</f>
        <v>40632</v>
      </c>
      <c r="E3" s="81"/>
      <c r="F3" s="81"/>
      <c r="G3" s="81"/>
      <c r="H3" s="81"/>
      <c r="I3" s="81"/>
      <c r="J3" s="81"/>
      <c r="K3" s="82"/>
    </row>
    <row r="4" spans="1:25" ht="30" customHeight="1" x14ac:dyDescent="0.2">
      <c r="A4" s="78" t="s">
        <v>218</v>
      </c>
      <c r="B4" s="79"/>
      <c r="C4" s="79"/>
      <c r="D4" s="80">
        <f>VLOOKUP($D$2,福祉!$B$2:$AG$1010,3,FALSE)</f>
        <v>44635</v>
      </c>
      <c r="E4" s="81"/>
      <c r="F4" s="81"/>
      <c r="G4" s="81"/>
      <c r="H4" s="81"/>
      <c r="I4" s="81"/>
      <c r="J4" s="81"/>
      <c r="K4" s="82"/>
    </row>
    <row r="5" spans="1:25" ht="30" customHeight="1" x14ac:dyDescent="0.2">
      <c r="A5" s="78" t="s">
        <v>219</v>
      </c>
      <c r="B5" s="79"/>
      <c r="C5" s="79"/>
      <c r="D5" s="80">
        <f>VLOOKUP($D$2,福祉!$B$2:$AG$1010,4,FALSE)</f>
        <v>45747</v>
      </c>
      <c r="E5" s="81"/>
      <c r="F5" s="81"/>
      <c r="G5" s="81"/>
      <c r="H5" s="81"/>
      <c r="I5" s="81"/>
      <c r="J5" s="81"/>
      <c r="K5" s="82"/>
    </row>
    <row r="6" spans="1:25" ht="30" customHeight="1" x14ac:dyDescent="0.2">
      <c r="A6" s="78" t="s">
        <v>220</v>
      </c>
      <c r="B6" s="79"/>
      <c r="C6" s="79"/>
      <c r="D6" s="80" t="str">
        <f>VLOOKUP($D$2,福祉!$B$2:$AG$1010,5,FALSE)</f>
        <v>社会福祉法人　侑愛会</v>
      </c>
      <c r="E6" s="81"/>
      <c r="F6" s="81"/>
      <c r="G6" s="81"/>
      <c r="H6" s="81"/>
      <c r="I6" s="81"/>
      <c r="J6" s="81"/>
      <c r="K6" s="82"/>
    </row>
    <row r="7" spans="1:25" ht="30" customHeight="1" x14ac:dyDescent="0.2">
      <c r="A7" s="78" t="s">
        <v>221</v>
      </c>
      <c r="B7" s="79"/>
      <c r="C7" s="79"/>
      <c r="D7" s="80" t="str">
        <f>VLOOKUP($D$2,福祉!$B$2:$AG$1010,6,FALSE)</f>
        <v>大場　公孝</v>
      </c>
      <c r="E7" s="81"/>
      <c r="F7" s="81"/>
      <c r="G7" s="81"/>
      <c r="H7" s="81"/>
      <c r="I7" s="81"/>
      <c r="J7" s="81"/>
      <c r="K7" s="82"/>
    </row>
    <row r="8" spans="1:25" ht="30" customHeight="1" x14ac:dyDescent="0.2">
      <c r="A8" s="78" t="s">
        <v>222</v>
      </c>
      <c r="B8" s="79"/>
      <c r="C8" s="79"/>
      <c r="D8" s="80" t="str">
        <f>VLOOKUP($D$2,福祉!$B$2:$AG$1010,8,FALSE)</f>
        <v>北海道北斗市追分７丁目８番９号</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ヘルパーステーションルーチェ</v>
      </c>
      <c r="E12" s="98"/>
      <c r="F12" s="98" t="str">
        <f>IFERROR(VLOOKUP($D$2,福祉!$B$2:$AG$1010,10,FALSE),0)</f>
        <v>北斗市久根別１丁目７番１０号</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北斗市</v>
      </c>
      <c r="E14" s="93"/>
      <c r="F14" s="93"/>
      <c r="G14" s="93"/>
      <c r="H14" s="93"/>
      <c r="I14" s="93"/>
      <c r="J14" s="93"/>
      <c r="K14" s="94"/>
      <c r="O14" s="67"/>
      <c r="X14" s="67"/>
      <c r="Y14" s="56"/>
    </row>
    <row r="15" spans="1:25" ht="30" customHeight="1" x14ac:dyDescent="0.2">
      <c r="A15" s="90" t="s">
        <v>230</v>
      </c>
      <c r="B15" s="91"/>
      <c r="C15" s="91"/>
      <c r="D15" s="103" t="str">
        <f>VLOOKUP($D$2,福祉!$B$2:$AG$1010,16,FALSE)</f>
        <v>イロハ</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ヘルパーステーションルーチェ</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0</v>
      </c>
      <c r="G23" s="131">
        <f>IFERROR(VLOOKUP($D$2,福祉!$B$2:$AG$1010,23,FALSE),0)</f>
        <v>0</v>
      </c>
      <c r="H23" s="132">
        <f>IFERROR(VLOOKUP($D$2,福祉!$B$2:$AG$1010,25,FALSE),0)</f>
        <v>0</v>
      </c>
      <c r="I23" s="131">
        <f>IFERROR(VLOOKUP($D$2,福祉!$B$2:$AG$1010,27,FALSE),0)</f>
        <v>4</v>
      </c>
      <c r="J23" s="131">
        <f>IFERROR(VLOOKUP($D$2,福祉!$B$2:$AG$1010,29,FALSE),0)</f>
        <v>0</v>
      </c>
      <c r="K23" s="133">
        <f>SUM(E23:J23)</f>
        <v>4</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0</v>
      </c>
      <c r="I24" s="137">
        <f>IFERROR(VLOOKUP($D$2,福祉!$B$2:$AG$3010,28,FALSE),0)</f>
        <v>2</v>
      </c>
      <c r="J24" s="138"/>
      <c r="K24" s="139">
        <f>SUM(E24:I24)</f>
        <v>2</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0</v>
      </c>
      <c r="G35" s="131">
        <f t="shared" si="0"/>
        <v>0</v>
      </c>
      <c r="H35" s="132">
        <f t="shared" si="0"/>
        <v>0</v>
      </c>
      <c r="I35" s="131">
        <f t="shared" si="0"/>
        <v>4</v>
      </c>
      <c r="J35" s="131">
        <f t="shared" si="0"/>
        <v>0</v>
      </c>
      <c r="K35" s="133">
        <f>SUM(E35:J35)</f>
        <v>4</v>
      </c>
    </row>
    <row r="36" spans="1:11" ht="20.399999999999999" thickBot="1" x14ac:dyDescent="0.25">
      <c r="A36" s="155"/>
      <c r="B36" s="156"/>
      <c r="C36" s="157"/>
      <c r="D36" s="158"/>
      <c r="E36" s="159">
        <f>SUM(E24+E27+E30+E33)</f>
        <v>0</v>
      </c>
      <c r="F36" s="159">
        <f>SUM(F24+F27+F30+F33)</f>
        <v>0</v>
      </c>
      <c r="G36" s="159">
        <f>SUM(G24+G27+G30+G33)</f>
        <v>0</v>
      </c>
      <c r="H36" s="159">
        <f>SUM(H24+H27+H30+H33)</f>
        <v>0</v>
      </c>
      <c r="I36" s="160">
        <f>SUM(I24+I27+I30+I33)</f>
        <v>2</v>
      </c>
      <c r="J36" s="161"/>
      <c r="K36" s="162">
        <f>SUM(E36:I36)</f>
        <v>2</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YoT7BjrMZaoh0TroWnm9K7wd34kmUAYv8FMmf2WPVl+2Vaq20wBKyoxvRcTpRo09ZYikPgXvvwfVt9cWWbl/ow==" saltValue="ZGlGLLMwPulBGixkb5707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DA6141B0-9634-4468-A9D2-EBE3398D07A6}">
      <formula1>"○"</formula1>
    </dataValidation>
    <dataValidation type="list" allowBlank="1" showInputMessage="1" sqref="A22:B33" xr:uid="{DD5D69E2-79DF-4823-93A6-3D394C665A96}">
      <formula1>"交通空白地有償運送,福祉有償運送"</formula1>
    </dataValidation>
    <dataValidation allowBlank="1" showInputMessage="1" sqref="D2:K2" xr:uid="{ED7FC738-AD8B-4A29-BC3C-22677402D52C}"/>
  </dataValidations>
  <hyperlinks>
    <hyperlink ref="O1:Q1" location="福祉!A1" display="福祉!A1" xr:uid="{7BC2C489-CADC-41D0-8B4F-5F3F9AB06B29}"/>
  </hyperlinks>
  <pageMargins left="0.25" right="0.25" top="0.75" bottom="0.75" header="0.3" footer="0.3"/>
  <pageSetup paperSize="9"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1BE1-FBD9-42EA-8F6E-393A0CDCC0D9}">
  <sheetPr codeName="Sheet43">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261</v>
      </c>
      <c r="E2" s="76"/>
      <c r="F2" s="76"/>
      <c r="G2" s="76"/>
      <c r="H2" s="76"/>
      <c r="I2" s="76"/>
      <c r="J2" s="76"/>
      <c r="K2" s="77"/>
    </row>
    <row r="3" spans="1:25" ht="30" customHeight="1" x14ac:dyDescent="0.2">
      <c r="A3" s="78" t="s">
        <v>217</v>
      </c>
      <c r="B3" s="79"/>
      <c r="C3" s="79"/>
      <c r="D3" s="80">
        <f>VLOOKUP($D$2,福祉!$B$2:$AG$1010,2,FALSE)</f>
        <v>38469</v>
      </c>
      <c r="E3" s="81"/>
      <c r="F3" s="81"/>
      <c r="G3" s="81"/>
      <c r="H3" s="81"/>
      <c r="I3" s="81"/>
      <c r="J3" s="81"/>
      <c r="K3" s="82"/>
    </row>
    <row r="4" spans="1:25" ht="30" customHeight="1" x14ac:dyDescent="0.2">
      <c r="A4" s="78" t="s">
        <v>218</v>
      </c>
      <c r="B4" s="79"/>
      <c r="C4" s="79"/>
      <c r="D4" s="80">
        <f>VLOOKUP($D$2,福祉!$B$2:$AG$1010,3,FALSE)</f>
        <v>44691</v>
      </c>
      <c r="E4" s="81"/>
      <c r="F4" s="81"/>
      <c r="G4" s="81"/>
      <c r="H4" s="81"/>
      <c r="I4" s="81"/>
      <c r="J4" s="81"/>
      <c r="K4" s="82"/>
    </row>
    <row r="5" spans="1:25" ht="30" customHeight="1" x14ac:dyDescent="0.2">
      <c r="A5" s="78" t="s">
        <v>219</v>
      </c>
      <c r="B5" s="79"/>
      <c r="C5" s="79"/>
      <c r="D5" s="80">
        <f>VLOOKUP($D$2,福祉!$B$2:$AG$1010,4,FALSE)</f>
        <v>45777</v>
      </c>
      <c r="E5" s="81"/>
      <c r="F5" s="81"/>
      <c r="G5" s="81"/>
      <c r="H5" s="81"/>
      <c r="I5" s="81"/>
      <c r="J5" s="81"/>
      <c r="K5" s="82"/>
    </row>
    <row r="6" spans="1:25" ht="30" customHeight="1" x14ac:dyDescent="0.2">
      <c r="A6" s="78" t="s">
        <v>220</v>
      </c>
      <c r="B6" s="79"/>
      <c r="C6" s="79"/>
      <c r="D6" s="80" t="str">
        <f>VLOOKUP($D$2,福祉!$B$2:$AG$1010,5,FALSE)</f>
        <v>社会福祉法人　知内町社会福祉協議会</v>
      </c>
      <c r="E6" s="81"/>
      <c r="F6" s="81"/>
      <c r="G6" s="81"/>
      <c r="H6" s="81"/>
      <c r="I6" s="81"/>
      <c r="J6" s="81"/>
      <c r="K6" s="82"/>
    </row>
    <row r="7" spans="1:25" ht="30" customHeight="1" x14ac:dyDescent="0.2">
      <c r="A7" s="78" t="s">
        <v>221</v>
      </c>
      <c r="B7" s="79"/>
      <c r="C7" s="79"/>
      <c r="D7" s="80" t="str">
        <f>VLOOKUP($D$2,福祉!$B$2:$AG$1010,6,FALSE)</f>
        <v>藤谷　利弘</v>
      </c>
      <c r="E7" s="81"/>
      <c r="F7" s="81"/>
      <c r="G7" s="81"/>
      <c r="H7" s="81"/>
      <c r="I7" s="81"/>
      <c r="J7" s="81"/>
      <c r="K7" s="82"/>
    </row>
    <row r="8" spans="1:25" ht="30" customHeight="1" x14ac:dyDescent="0.2">
      <c r="A8" s="78" t="s">
        <v>222</v>
      </c>
      <c r="B8" s="79"/>
      <c r="C8" s="79"/>
      <c r="D8" s="80" t="str">
        <f>VLOOKUP($D$2,福祉!$B$2:$AG$1010,8,FALSE)</f>
        <v>上磯郡知内町字重内２１番地１</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社会福祉法人知内町社会福祉協議会</v>
      </c>
      <c r="E12" s="98"/>
      <c r="F12" s="98" t="str">
        <f>IFERROR(VLOOKUP($D$2,福祉!$B$2:$AG$1010,10,FALSE),0)</f>
        <v>上磯郡知内町字重内２１番地１</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上磯郡知内町</v>
      </c>
      <c r="E14" s="93"/>
      <c r="F14" s="93"/>
      <c r="G14" s="93"/>
      <c r="H14" s="93"/>
      <c r="I14" s="93"/>
      <c r="J14" s="93"/>
      <c r="K14" s="94"/>
      <c r="O14" s="67"/>
      <c r="X14" s="67"/>
      <c r="Y14" s="56"/>
    </row>
    <row r="15" spans="1:25" ht="30" customHeight="1" x14ac:dyDescent="0.2">
      <c r="A15" s="90" t="s">
        <v>230</v>
      </c>
      <c r="B15" s="91"/>
      <c r="C15" s="91"/>
      <c r="D15" s="103" t="str">
        <f>VLOOKUP($D$2,福祉!$B$2:$AG$1010,16,FALSE)</f>
        <v>イ　　二ホ　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社会福祉法人知内町社会福祉協議会</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1</v>
      </c>
      <c r="G23" s="131">
        <f>IFERROR(VLOOKUP($D$2,福祉!$B$2:$AG$1010,23,FALSE),0)</f>
        <v>0</v>
      </c>
      <c r="H23" s="132">
        <f>IFERROR(VLOOKUP($D$2,福祉!$B$2:$AG$1010,25,FALSE),0)</f>
        <v>1</v>
      </c>
      <c r="I23" s="131">
        <f>IFERROR(VLOOKUP($D$2,福祉!$B$2:$AG$1010,27,FALSE),0)</f>
        <v>9</v>
      </c>
      <c r="J23" s="131">
        <f>IFERROR(VLOOKUP($D$2,福祉!$B$2:$AG$1010,29,FALSE),0)</f>
        <v>0</v>
      </c>
      <c r="K23" s="133">
        <f>SUM(E23:J23)</f>
        <v>11</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1</v>
      </c>
      <c r="I24" s="137">
        <f>IFERROR(VLOOKUP($D$2,福祉!$B$2:$AG$3010,28,FALSE),0)</f>
        <v>2</v>
      </c>
      <c r="J24" s="138"/>
      <c r="K24" s="139">
        <f>SUM(E24:I24)</f>
        <v>3</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1</v>
      </c>
      <c r="G35" s="131">
        <f t="shared" si="0"/>
        <v>0</v>
      </c>
      <c r="H35" s="132">
        <f t="shared" si="0"/>
        <v>1</v>
      </c>
      <c r="I35" s="131">
        <f t="shared" si="0"/>
        <v>9</v>
      </c>
      <c r="J35" s="131">
        <f t="shared" si="0"/>
        <v>0</v>
      </c>
      <c r="K35" s="133">
        <f>SUM(E35:J35)</f>
        <v>11</v>
      </c>
    </row>
    <row r="36" spans="1:11" ht="20.399999999999999" thickBot="1" x14ac:dyDescent="0.25">
      <c r="A36" s="155"/>
      <c r="B36" s="156"/>
      <c r="C36" s="157"/>
      <c r="D36" s="158"/>
      <c r="E36" s="159">
        <f>SUM(E24+E27+E30+E33)</f>
        <v>0</v>
      </c>
      <c r="F36" s="159">
        <f>SUM(F24+F27+F30+F33)</f>
        <v>0</v>
      </c>
      <c r="G36" s="159">
        <f>SUM(G24+G27+G30+G33)</f>
        <v>0</v>
      </c>
      <c r="H36" s="159">
        <f>SUM(H24+H27+H30+H33)</f>
        <v>1</v>
      </c>
      <c r="I36" s="160">
        <f>SUM(I24+I27+I30+I33)</f>
        <v>2</v>
      </c>
      <c r="J36" s="161"/>
      <c r="K36" s="162">
        <f>SUM(E36:I36)</f>
        <v>3</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HmYQXqu/skY1jXG8ZLKrPjIMC2hUEeXQ+z4lW8vQ+mAbcl1D/I2GhGAIOKPc6XYUtYn4D7kdlduWFZYddblyFA==" saltValue="AHd9BR2M+f2f0qVocolij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D1FA9B11-88AA-4B5F-A629-9038A564A411}">
      <formula1>"○"</formula1>
    </dataValidation>
    <dataValidation type="list" allowBlank="1" showInputMessage="1" sqref="A22:B33" xr:uid="{270F429D-0738-457B-9E4F-F86481A0F9BA}">
      <formula1>"交通空白地有償運送,福祉有償運送"</formula1>
    </dataValidation>
    <dataValidation allowBlank="1" showInputMessage="1" sqref="D2:K2" xr:uid="{FCA0599F-8451-4AC8-847D-EB089332E759}"/>
  </dataValidations>
  <hyperlinks>
    <hyperlink ref="O1:Q1" location="福祉!A1" display="福祉!A1" xr:uid="{3182A682-45DF-4DE1-9896-A04DB46B0117}"/>
  </hyperlinks>
  <pageMargins left="0.25" right="0.25" top="0.75" bottom="0.75" header="0.3" footer="0.3"/>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382DF-79E0-4C20-BA5D-521676B2A6E0}">
  <sheetPr codeName="Sheet44">
    <tabColor rgb="FFFABF8F"/>
  </sheetPr>
  <dimension ref="A1:Y38"/>
  <sheetViews>
    <sheetView view="pageBreakPreview" topLeftCell="A13"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262</v>
      </c>
      <c r="E2" s="76"/>
      <c r="F2" s="76"/>
      <c r="G2" s="76"/>
      <c r="H2" s="76"/>
      <c r="I2" s="76"/>
      <c r="J2" s="76"/>
      <c r="K2" s="77"/>
    </row>
    <row r="3" spans="1:25" ht="30" customHeight="1" x14ac:dyDescent="0.2">
      <c r="A3" s="78" t="s">
        <v>217</v>
      </c>
      <c r="B3" s="79"/>
      <c r="C3" s="79"/>
      <c r="D3" s="80">
        <f>VLOOKUP($D$2,福祉!$B$2:$AG$1010,2,FALSE)</f>
        <v>41579</v>
      </c>
      <c r="E3" s="81"/>
      <c r="F3" s="81"/>
      <c r="G3" s="81"/>
      <c r="H3" s="81"/>
      <c r="I3" s="81"/>
      <c r="J3" s="81"/>
      <c r="K3" s="82"/>
    </row>
    <row r="4" spans="1:25" ht="30" customHeight="1" x14ac:dyDescent="0.2">
      <c r="A4" s="78" t="s">
        <v>218</v>
      </c>
      <c r="B4" s="79"/>
      <c r="C4" s="79"/>
      <c r="D4" s="80">
        <f>VLOOKUP($D$2,福祉!$B$2:$AG$1010,3,FALSE)</f>
        <v>44482</v>
      </c>
      <c r="E4" s="81"/>
      <c r="F4" s="81"/>
      <c r="G4" s="81"/>
      <c r="H4" s="81"/>
      <c r="I4" s="81"/>
      <c r="J4" s="81"/>
      <c r="K4" s="82"/>
    </row>
    <row r="5" spans="1:25" ht="30" customHeight="1" x14ac:dyDescent="0.2">
      <c r="A5" s="78" t="s">
        <v>219</v>
      </c>
      <c r="B5" s="79"/>
      <c r="C5" s="79"/>
      <c r="D5" s="80">
        <f>VLOOKUP($D$2,福祉!$B$2:$AG$1010,4,FALSE)</f>
        <v>45596</v>
      </c>
      <c r="E5" s="81"/>
      <c r="F5" s="81"/>
      <c r="G5" s="81"/>
      <c r="H5" s="81"/>
      <c r="I5" s="81"/>
      <c r="J5" s="81"/>
      <c r="K5" s="82"/>
    </row>
    <row r="6" spans="1:25" ht="30" customHeight="1" x14ac:dyDescent="0.2">
      <c r="A6" s="78" t="s">
        <v>220</v>
      </c>
      <c r="B6" s="79"/>
      <c r="C6" s="79"/>
      <c r="D6" s="80" t="str">
        <f>VLOOKUP($D$2,福祉!$B$2:$AG$1010,5,FALSE)</f>
        <v>特定非営利活動法人　救命のリレー普及会</v>
      </c>
      <c r="E6" s="81"/>
      <c r="F6" s="81"/>
      <c r="G6" s="81"/>
      <c r="H6" s="81"/>
      <c r="I6" s="81"/>
      <c r="J6" s="81"/>
      <c r="K6" s="82"/>
    </row>
    <row r="7" spans="1:25" ht="30" customHeight="1" x14ac:dyDescent="0.2">
      <c r="A7" s="78" t="s">
        <v>221</v>
      </c>
      <c r="B7" s="79"/>
      <c r="C7" s="79"/>
      <c r="D7" s="80" t="str">
        <f>VLOOKUP($D$2,福祉!$B$2:$AG$1010,6,FALSE)</f>
        <v>田中　正博</v>
      </c>
      <c r="E7" s="81"/>
      <c r="F7" s="81"/>
      <c r="G7" s="81"/>
      <c r="H7" s="81"/>
      <c r="I7" s="81"/>
      <c r="J7" s="81"/>
      <c r="K7" s="82"/>
    </row>
    <row r="8" spans="1:25" ht="30" customHeight="1" x14ac:dyDescent="0.2">
      <c r="A8" s="78" t="s">
        <v>222</v>
      </c>
      <c r="B8" s="79"/>
      <c r="C8" s="79"/>
      <c r="D8" s="80" t="str">
        <f>VLOOKUP($D$2,福祉!$B$2:$AG$1010,8,FALSE)</f>
        <v>函館市高丘町５番３号</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特定非営利活動法人　救命のリレー普及会</v>
      </c>
      <c r="E12" s="98"/>
      <c r="F12" s="98" t="str">
        <f>IFERROR(VLOOKUP($D$2,福祉!$B$2:$AG$1010,10,FALSE),0)</f>
        <v>函館市高丘町５番３号</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函館市</v>
      </c>
      <c r="E14" s="93"/>
      <c r="F14" s="93"/>
      <c r="G14" s="93"/>
      <c r="H14" s="93"/>
      <c r="I14" s="93"/>
      <c r="J14" s="93"/>
      <c r="K14" s="94"/>
      <c r="O14" s="67"/>
      <c r="X14" s="67"/>
      <c r="Y14" s="56"/>
    </row>
    <row r="15" spans="1:25" ht="30" customHeight="1" x14ac:dyDescent="0.2">
      <c r="A15" s="90" t="s">
        <v>230</v>
      </c>
      <c r="B15" s="91"/>
      <c r="C15" s="91"/>
      <c r="D15" s="103" t="str">
        <f>VLOOKUP($D$2,福祉!$B$2:$AG$1010,16,FALSE)</f>
        <v>イ　　二ホ　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特定非営利活動法人　救命のリレー普及会</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1</v>
      </c>
      <c r="G23" s="131">
        <f>IFERROR(VLOOKUP($D$2,福祉!$B$2:$AG$1010,23,FALSE),0)</f>
        <v>0</v>
      </c>
      <c r="H23" s="132">
        <f>IFERROR(VLOOKUP($D$2,福祉!$B$2:$AG$1010,25,FALSE),0)</f>
        <v>0</v>
      </c>
      <c r="I23" s="131">
        <f>IFERROR(VLOOKUP($D$2,福祉!$B$2:$AG$1010,27,FALSE),0)</f>
        <v>16</v>
      </c>
      <c r="J23" s="131">
        <f>IFERROR(VLOOKUP($D$2,福祉!$B$2:$AG$1010,29,FALSE),0)</f>
        <v>0</v>
      </c>
      <c r="K23" s="133">
        <f>SUM(E23:J23)</f>
        <v>17</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0</v>
      </c>
      <c r="I24" s="137">
        <f>IFERROR(VLOOKUP($D$2,福祉!$B$2:$AG$3010,28,FALSE),0)</f>
        <v>6</v>
      </c>
      <c r="J24" s="138"/>
      <c r="K24" s="139">
        <f>SUM(E24:I24)</f>
        <v>6</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1</v>
      </c>
      <c r="G35" s="131">
        <f t="shared" si="0"/>
        <v>0</v>
      </c>
      <c r="H35" s="132">
        <f t="shared" si="0"/>
        <v>0</v>
      </c>
      <c r="I35" s="131">
        <f t="shared" si="0"/>
        <v>16</v>
      </c>
      <c r="J35" s="131">
        <f t="shared" si="0"/>
        <v>0</v>
      </c>
      <c r="K35" s="133">
        <f>SUM(E35:J35)</f>
        <v>17</v>
      </c>
    </row>
    <row r="36" spans="1:11" ht="20.399999999999999" thickBot="1" x14ac:dyDescent="0.25">
      <c r="A36" s="155"/>
      <c r="B36" s="156"/>
      <c r="C36" s="157"/>
      <c r="D36" s="158"/>
      <c r="E36" s="159">
        <f>SUM(E24+E27+E30+E33)</f>
        <v>0</v>
      </c>
      <c r="F36" s="159">
        <f>SUM(F24+F27+F30+F33)</f>
        <v>0</v>
      </c>
      <c r="G36" s="159">
        <f>SUM(G24+G27+G30+G33)</f>
        <v>0</v>
      </c>
      <c r="H36" s="159">
        <f>SUM(H24+H27+H30+H33)</f>
        <v>0</v>
      </c>
      <c r="I36" s="160">
        <f>SUM(I24+I27+I30+I33)</f>
        <v>6</v>
      </c>
      <c r="J36" s="161"/>
      <c r="K36" s="162">
        <f>SUM(E36:I36)</f>
        <v>6</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zbeDr6NxXXQSSfG1s9sCGp6QuvZ6fUNfmyksic9eYwQw+CHB25SQCF4/WbJolGLIGF9Nzbvu97xr8igBTlAelg==" saltValue="udsOvWqJ+SJogpjkTUF3X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8EE731B5-EDAF-4184-885D-FC603F750876}">
      <formula1>"○"</formula1>
    </dataValidation>
    <dataValidation type="list" allowBlank="1" showInputMessage="1" sqref="A22:B33" xr:uid="{DE14052C-888C-48AA-AE0B-17F7FE9A41B7}">
      <formula1>"交通空白地有償運送,福祉有償運送"</formula1>
    </dataValidation>
    <dataValidation allowBlank="1" showInputMessage="1" sqref="D2:K2" xr:uid="{EBC8BE0F-BF40-4B01-8F99-9F4C128DCC40}"/>
  </dataValidations>
  <hyperlinks>
    <hyperlink ref="O1:Q1" location="福祉!A1" display="福祉!A1" xr:uid="{AE91EC4B-DD22-4A4A-9C80-02B48375B474}"/>
  </hyperlinks>
  <pageMargins left="0.25" right="0.25" top="0.75" bottom="0.75" header="0.3" footer="0.3"/>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96A61-EE9D-4DA3-8C77-8C92D43A6AE0}">
  <sheetPr codeName="Sheet3"/>
  <dimension ref="A1:L16"/>
  <sheetViews>
    <sheetView view="pageBreakPreview" zoomScale="80" zoomScaleNormal="100" zoomScaleSheetLayoutView="80" workbookViewId="0">
      <selection activeCell="B3" sqref="B3"/>
    </sheetView>
  </sheetViews>
  <sheetFormatPr defaultColWidth="9" defaultRowHeight="18" x14ac:dyDescent="0.2"/>
  <cols>
    <col min="1" max="1" width="5.109375" style="60" customWidth="1"/>
    <col min="2" max="16384" width="9" style="60"/>
  </cols>
  <sheetData>
    <row r="1" spans="1:12" ht="30" customHeight="1" x14ac:dyDescent="0.2">
      <c r="A1" s="59" t="s">
        <v>196</v>
      </c>
    </row>
    <row r="2" spans="1:12" ht="30" customHeight="1" x14ac:dyDescent="0.2">
      <c r="A2" s="61" t="s">
        <v>197</v>
      </c>
      <c r="B2" s="61"/>
      <c r="C2" s="61"/>
      <c r="D2" s="61"/>
      <c r="E2" s="61"/>
      <c r="F2" s="61"/>
      <c r="G2" s="61"/>
      <c r="H2" s="61"/>
      <c r="I2" s="61"/>
      <c r="J2" s="61"/>
      <c r="K2" s="61"/>
      <c r="L2" s="61"/>
    </row>
    <row r="3" spans="1:12" ht="30" customHeight="1" x14ac:dyDescent="0.2">
      <c r="A3" s="62" t="s">
        <v>198</v>
      </c>
      <c r="B3" s="63" t="s">
        <v>199</v>
      </c>
      <c r="C3" s="63"/>
      <c r="D3" s="63"/>
      <c r="E3" s="63"/>
      <c r="F3" s="63"/>
      <c r="G3" s="63"/>
      <c r="H3" s="63"/>
      <c r="I3" s="63"/>
      <c r="J3" s="63"/>
      <c r="K3" s="63"/>
      <c r="L3" s="63"/>
    </row>
    <row r="4" spans="1:12" ht="30" customHeight="1" x14ac:dyDescent="0.2">
      <c r="A4" s="64" t="s">
        <v>200</v>
      </c>
      <c r="B4" s="63" t="s">
        <v>201</v>
      </c>
      <c r="C4" s="63"/>
      <c r="D4" s="63"/>
      <c r="E4" s="63"/>
      <c r="F4" s="63"/>
      <c r="G4" s="63"/>
      <c r="H4" s="63"/>
      <c r="I4" s="63"/>
      <c r="J4" s="63"/>
      <c r="K4" s="63"/>
      <c r="L4" s="63"/>
    </row>
    <row r="5" spans="1:12" ht="30" customHeight="1" x14ac:dyDescent="0.2">
      <c r="A5" s="64" t="s">
        <v>202</v>
      </c>
      <c r="B5" s="63" t="s">
        <v>203</v>
      </c>
      <c r="C5" s="63"/>
      <c r="D5" s="63"/>
      <c r="E5" s="63"/>
      <c r="F5" s="63"/>
      <c r="G5" s="63"/>
      <c r="H5" s="63"/>
      <c r="I5" s="63"/>
      <c r="J5" s="63"/>
      <c r="K5" s="63"/>
      <c r="L5" s="63"/>
    </row>
    <row r="6" spans="1:12" ht="30" customHeight="1" x14ac:dyDescent="0.2">
      <c r="A6" s="62" t="s">
        <v>204</v>
      </c>
      <c r="B6" s="65" t="s">
        <v>205</v>
      </c>
      <c r="C6" s="65"/>
      <c r="D6" s="65"/>
      <c r="E6" s="65"/>
      <c r="F6" s="65"/>
      <c r="G6" s="65"/>
      <c r="H6" s="65"/>
      <c r="I6" s="65"/>
      <c r="J6" s="65"/>
      <c r="K6" s="65"/>
      <c r="L6" s="65"/>
    </row>
    <row r="7" spans="1:12" ht="30" customHeight="1" x14ac:dyDescent="0.2">
      <c r="A7" s="62" t="s">
        <v>206</v>
      </c>
      <c r="B7" s="63" t="s">
        <v>207</v>
      </c>
      <c r="C7" s="63"/>
      <c r="D7" s="63"/>
      <c r="E7" s="63"/>
      <c r="F7" s="63"/>
      <c r="G7" s="63"/>
      <c r="H7" s="63"/>
      <c r="I7" s="63"/>
      <c r="J7" s="63"/>
      <c r="K7" s="63"/>
      <c r="L7" s="63"/>
    </row>
    <row r="8" spans="1:12" ht="30" customHeight="1" x14ac:dyDescent="0.2">
      <c r="A8" s="64" t="s">
        <v>208</v>
      </c>
      <c r="B8" s="63" t="s">
        <v>209</v>
      </c>
      <c r="C8" s="63"/>
      <c r="D8" s="63"/>
      <c r="E8" s="63"/>
      <c r="F8" s="63"/>
      <c r="G8" s="63"/>
      <c r="H8" s="63"/>
      <c r="I8" s="63"/>
      <c r="J8" s="63"/>
      <c r="K8" s="63"/>
      <c r="L8" s="63"/>
    </row>
    <row r="9" spans="1:12" ht="30" customHeight="1" x14ac:dyDescent="0.2">
      <c r="A9" s="62" t="s">
        <v>210</v>
      </c>
      <c r="B9" s="63" t="s">
        <v>211</v>
      </c>
      <c r="C9" s="63"/>
      <c r="D9" s="63"/>
      <c r="E9" s="63"/>
      <c r="F9" s="63"/>
      <c r="G9" s="63"/>
      <c r="H9" s="63"/>
      <c r="I9" s="63"/>
      <c r="J9" s="63"/>
      <c r="K9" s="63"/>
      <c r="L9" s="63"/>
    </row>
    <row r="10" spans="1:12" ht="17.25" customHeight="1" x14ac:dyDescent="0.2">
      <c r="A10" s="66"/>
      <c r="B10" s="67"/>
      <c r="C10" s="67"/>
      <c r="D10" s="67"/>
      <c r="E10" s="67"/>
      <c r="F10" s="67"/>
      <c r="G10" s="67"/>
      <c r="H10" s="67"/>
      <c r="I10" s="67"/>
      <c r="J10" s="67"/>
      <c r="K10" s="67"/>
      <c r="L10" s="67"/>
    </row>
    <row r="11" spans="1:12" ht="30" customHeight="1" x14ac:dyDescent="0.2">
      <c r="A11" s="61" t="s">
        <v>212</v>
      </c>
      <c r="B11" s="61"/>
      <c r="C11" s="61"/>
      <c r="D11" s="61"/>
      <c r="E11" s="61"/>
      <c r="F11" s="61"/>
      <c r="G11" s="61"/>
      <c r="H11" s="61"/>
      <c r="I11" s="61"/>
      <c r="J11" s="61"/>
      <c r="K11" s="61"/>
      <c r="L11" s="61"/>
    </row>
    <row r="12" spans="1:12" ht="30" customHeight="1" x14ac:dyDescent="0.2">
      <c r="A12" s="62" t="s">
        <v>198</v>
      </c>
      <c r="B12" s="63" t="s">
        <v>199</v>
      </c>
      <c r="C12" s="63"/>
      <c r="D12" s="63"/>
      <c r="E12" s="63"/>
      <c r="F12" s="63"/>
      <c r="G12" s="63"/>
      <c r="H12" s="63"/>
      <c r="I12" s="63"/>
      <c r="J12" s="63"/>
      <c r="K12" s="63"/>
      <c r="L12" s="63"/>
    </row>
    <row r="13" spans="1:12" ht="30" customHeight="1" x14ac:dyDescent="0.2">
      <c r="A13" s="62" t="s">
        <v>200</v>
      </c>
      <c r="B13" s="65" t="s">
        <v>205</v>
      </c>
      <c r="C13" s="65"/>
      <c r="D13" s="65"/>
      <c r="E13" s="65"/>
      <c r="F13" s="65"/>
      <c r="G13" s="65"/>
      <c r="H13" s="65"/>
      <c r="I13" s="65"/>
      <c r="J13" s="65"/>
      <c r="K13" s="65"/>
      <c r="L13" s="65"/>
    </row>
    <row r="14" spans="1:12" ht="30" customHeight="1" x14ac:dyDescent="0.2">
      <c r="A14" s="62" t="s">
        <v>202</v>
      </c>
      <c r="B14" s="63" t="s">
        <v>207</v>
      </c>
      <c r="C14" s="63"/>
      <c r="D14" s="63"/>
      <c r="E14" s="63"/>
      <c r="F14" s="63"/>
      <c r="G14" s="63"/>
      <c r="H14" s="63"/>
      <c r="I14" s="63"/>
      <c r="J14" s="63"/>
      <c r="K14" s="63"/>
      <c r="L14" s="63"/>
    </row>
    <row r="15" spans="1:12" ht="30" customHeight="1" x14ac:dyDescent="0.2">
      <c r="A15" s="62" t="s">
        <v>204</v>
      </c>
      <c r="B15" s="63" t="s">
        <v>211</v>
      </c>
      <c r="C15" s="63"/>
      <c r="D15" s="63"/>
      <c r="E15" s="63"/>
      <c r="F15" s="63"/>
      <c r="G15" s="63"/>
      <c r="H15" s="63"/>
      <c r="I15" s="63"/>
      <c r="J15" s="63"/>
      <c r="K15" s="63"/>
      <c r="L15" s="63"/>
    </row>
    <row r="16" spans="1:12" ht="30" customHeight="1" x14ac:dyDescent="0.2"/>
  </sheetData>
  <sheetProtection algorithmName="SHA-512" hashValue="dTdcVVaOPWQwgM3Ii/rotfK1EWnRRlRPNjAow3tImG2jcJYS2Pb5DgSWbkfgf9lh5Ifd656Eu2qYqI+Wi84iqA==" saltValue="CFhkwfde7kjiPic9UxWtJQ==" spinCount="100000" sheet="1" objects="1" scenarios="1"/>
  <mergeCells count="13">
    <mergeCell ref="B15:L15"/>
    <mergeCell ref="B8:L8"/>
    <mergeCell ref="B9:L9"/>
    <mergeCell ref="A11:L11"/>
    <mergeCell ref="B12:L12"/>
    <mergeCell ref="B13:L13"/>
    <mergeCell ref="B14:L14"/>
    <mergeCell ref="A2:L2"/>
    <mergeCell ref="B3:L3"/>
    <mergeCell ref="B4:L4"/>
    <mergeCell ref="B5:L5"/>
    <mergeCell ref="B6:L6"/>
    <mergeCell ref="B7:L7"/>
  </mergeCells>
  <phoneticPr fontId="6"/>
  <pageMargins left="0.25" right="0.25" top="0.75" bottom="0.75" header="0.3" footer="0.3"/>
  <pageSetup paperSize="9" scale="9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CE247-EF95-4AA2-91AE-7E3AD9EA1200}">
  <sheetPr codeName="Sheet45">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263</v>
      </c>
      <c r="E2" s="76"/>
      <c r="F2" s="76"/>
      <c r="G2" s="76"/>
      <c r="H2" s="76"/>
      <c r="I2" s="76"/>
      <c r="J2" s="76"/>
      <c r="K2" s="77"/>
    </row>
    <row r="3" spans="1:25" ht="30" customHeight="1" x14ac:dyDescent="0.2">
      <c r="A3" s="78" t="s">
        <v>217</v>
      </c>
      <c r="B3" s="79"/>
      <c r="C3" s="79"/>
      <c r="D3" s="80">
        <f>VLOOKUP($D$2,福祉!$B$2:$AG$1010,2,FALSE)</f>
        <v>38775</v>
      </c>
      <c r="E3" s="81"/>
      <c r="F3" s="81"/>
      <c r="G3" s="81"/>
      <c r="H3" s="81"/>
      <c r="I3" s="81"/>
      <c r="J3" s="81"/>
      <c r="K3" s="82"/>
    </row>
    <row r="4" spans="1:25" ht="30" customHeight="1" x14ac:dyDescent="0.2">
      <c r="A4" s="78" t="s">
        <v>218</v>
      </c>
      <c r="B4" s="79"/>
      <c r="C4" s="79"/>
      <c r="D4" s="80">
        <f>VLOOKUP($D$2,福祉!$B$2:$AG$1010,3,FALSE)</f>
        <v>44971</v>
      </c>
      <c r="E4" s="81"/>
      <c r="F4" s="81"/>
      <c r="G4" s="81"/>
      <c r="H4" s="81"/>
      <c r="I4" s="81"/>
      <c r="J4" s="81"/>
      <c r="K4" s="82"/>
    </row>
    <row r="5" spans="1:25" ht="30" customHeight="1" x14ac:dyDescent="0.2">
      <c r="A5" s="78" t="s">
        <v>219</v>
      </c>
      <c r="B5" s="79"/>
      <c r="C5" s="79"/>
      <c r="D5" s="80">
        <f>VLOOKUP($D$2,福祉!$B$2:$AG$1010,4,FALSE)</f>
        <v>46081</v>
      </c>
      <c r="E5" s="81"/>
      <c r="F5" s="81"/>
      <c r="G5" s="81"/>
      <c r="H5" s="81"/>
      <c r="I5" s="81"/>
      <c r="J5" s="81"/>
      <c r="K5" s="82"/>
    </row>
    <row r="6" spans="1:25" ht="30" customHeight="1" x14ac:dyDescent="0.2">
      <c r="A6" s="78" t="s">
        <v>220</v>
      </c>
      <c r="B6" s="79"/>
      <c r="C6" s="79"/>
      <c r="D6" s="80" t="str">
        <f>VLOOKUP($D$2,福祉!$B$2:$AG$1010,5,FALSE)</f>
        <v>社会福祉法人　鹿部町社会福祉協議会</v>
      </c>
      <c r="E6" s="81"/>
      <c r="F6" s="81"/>
      <c r="G6" s="81"/>
      <c r="H6" s="81"/>
      <c r="I6" s="81"/>
      <c r="J6" s="81"/>
      <c r="K6" s="82"/>
    </row>
    <row r="7" spans="1:25" ht="30" customHeight="1" x14ac:dyDescent="0.2">
      <c r="A7" s="78" t="s">
        <v>221</v>
      </c>
      <c r="B7" s="79"/>
      <c r="C7" s="79"/>
      <c r="D7" s="80" t="str">
        <f>VLOOKUP($D$2,福祉!$B$2:$AG$1010,6,FALSE)</f>
        <v>松本　善一</v>
      </c>
      <c r="E7" s="81"/>
      <c r="F7" s="81"/>
      <c r="G7" s="81"/>
      <c r="H7" s="81"/>
      <c r="I7" s="81"/>
      <c r="J7" s="81"/>
      <c r="K7" s="82"/>
    </row>
    <row r="8" spans="1:25" ht="30" customHeight="1" x14ac:dyDescent="0.2">
      <c r="A8" s="78" t="s">
        <v>222</v>
      </c>
      <c r="B8" s="79"/>
      <c r="C8" s="79"/>
      <c r="D8" s="80" t="str">
        <f>VLOOKUP($D$2,福祉!$B$2:$AG$1010,8,FALSE)</f>
        <v>茅部郡鹿部町字宮浜２１０番地６</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社会福祉法人鹿部町社会福祉協議会</v>
      </c>
      <c r="E12" s="98"/>
      <c r="F12" s="98" t="str">
        <f>IFERROR(VLOOKUP($D$2,福祉!$B$2:$AG$1010,10,FALSE),0)</f>
        <v>茅部郡鹿部町字宮浜２１０番地６</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茅部郡鹿部町</v>
      </c>
      <c r="E14" s="93"/>
      <c r="F14" s="93"/>
      <c r="G14" s="93"/>
      <c r="H14" s="93"/>
      <c r="I14" s="93"/>
      <c r="J14" s="93"/>
      <c r="K14" s="94"/>
      <c r="O14" s="67"/>
      <c r="X14" s="67"/>
      <c r="Y14" s="56"/>
    </row>
    <row r="15" spans="1:25" ht="30" customHeight="1" x14ac:dyDescent="0.2">
      <c r="A15" s="90" t="s">
        <v>230</v>
      </c>
      <c r="B15" s="91"/>
      <c r="C15" s="91"/>
      <c r="D15" s="103" t="str">
        <f>VLOOKUP($D$2,福祉!$B$2:$AG$1010,16,FALSE)</f>
        <v>イ　　二ホ　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社会福祉法人鹿部町社会福祉協議会</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0</v>
      </c>
      <c r="G23" s="131">
        <f>IFERROR(VLOOKUP($D$2,福祉!$B$2:$AG$1010,23,FALSE),0)</f>
        <v>1</v>
      </c>
      <c r="H23" s="132">
        <v>1</v>
      </c>
      <c r="I23" s="131">
        <v>3</v>
      </c>
      <c r="J23" s="131">
        <f>IFERROR(VLOOKUP($D$2,福祉!$B$2:$AG$1010,29,FALSE),0)</f>
        <v>0</v>
      </c>
      <c r="K23" s="133">
        <f>SUM(E23:J23)</f>
        <v>5</v>
      </c>
    </row>
    <row r="24" spans="1:24" ht="19.8" x14ac:dyDescent="0.2">
      <c r="A24" s="127"/>
      <c r="B24" s="128"/>
      <c r="C24" s="134"/>
      <c r="D24" s="135"/>
      <c r="E24" s="136">
        <f>IFERROR(VLOOKUP($D$2,福祉!$B$2:$AG$1010,20,FALSE),0)</f>
        <v>0</v>
      </c>
      <c r="F24" s="136">
        <f>IFERROR(VLOOKUP($D$2,福祉!$B$2:$AG$1010,22,FALSE),0)</f>
        <v>0</v>
      </c>
      <c r="G24" s="136">
        <f>IFERROR(VLOOKUP($D$2,福祉!$B$2:$AG$1010,24,FALSE),0)</f>
        <v>1</v>
      </c>
      <c r="H24" s="136">
        <f>IFERROR(VLOOKUP($D$2,福祉!$B$2:$AG$1010,26,FALSE),0)</f>
        <v>0</v>
      </c>
      <c r="I24" s="137">
        <f>IFERROR(VLOOKUP($D$2,福祉!$B$2:$AG$3010,28,FALSE),0)</f>
        <v>2</v>
      </c>
      <c r="J24" s="138"/>
      <c r="K24" s="139">
        <f>SUM(E24:I24)</f>
        <v>3</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0</v>
      </c>
      <c r="G35" s="131">
        <f t="shared" si="0"/>
        <v>1</v>
      </c>
      <c r="H35" s="132">
        <f t="shared" si="0"/>
        <v>1</v>
      </c>
      <c r="I35" s="131">
        <f t="shared" si="0"/>
        <v>3</v>
      </c>
      <c r="J35" s="131">
        <f t="shared" si="0"/>
        <v>0</v>
      </c>
      <c r="K35" s="133">
        <f>SUM(E35:J35)</f>
        <v>5</v>
      </c>
    </row>
    <row r="36" spans="1:11" ht="20.399999999999999" thickBot="1" x14ac:dyDescent="0.25">
      <c r="A36" s="155"/>
      <c r="B36" s="156"/>
      <c r="C36" s="157"/>
      <c r="D36" s="158"/>
      <c r="E36" s="159">
        <f>SUM(E24+E27+E30+E33)</f>
        <v>0</v>
      </c>
      <c r="F36" s="159">
        <f>SUM(F24+F27+F30+F33)</f>
        <v>0</v>
      </c>
      <c r="G36" s="159">
        <f>SUM(G24+G27+G30+G33)</f>
        <v>1</v>
      </c>
      <c r="H36" s="159">
        <f>SUM(H24+H27+H30+H33)</f>
        <v>0</v>
      </c>
      <c r="I36" s="160">
        <f>SUM(I24+I27+I30+I33)</f>
        <v>2</v>
      </c>
      <c r="J36" s="161"/>
      <c r="K36" s="162">
        <f>SUM(E36:I36)</f>
        <v>3</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rL7kFxmEPTAvUa3nvS3cWdXE23efDblDFtKB0nKvPzB9z3AxF5M+B6o3/PKHIejoebpyB5YYGQS2MO+tfmA83w==" saltValue="EQ3NEDZfh2cQvLrcxfQrq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0971A0E9-A862-4A41-9BB3-00E330D2F5C8}">
      <formula1>"○"</formula1>
    </dataValidation>
    <dataValidation type="list" allowBlank="1" showInputMessage="1" sqref="A22:B33" xr:uid="{2E3A8E87-6E73-4725-BA8C-8FB418FD87F9}">
      <formula1>"交通空白地有償運送,福祉有償運送"</formula1>
    </dataValidation>
    <dataValidation allowBlank="1" showInputMessage="1" sqref="D2:K2" xr:uid="{8A8FF8A8-D859-4CC8-B4E1-732179B18506}"/>
  </dataValidations>
  <hyperlinks>
    <hyperlink ref="O1:Q1" location="福祉!A1" display="福祉!A1" xr:uid="{0E053280-AD26-4BA0-8C80-10B24EBF334E}"/>
  </hyperlinks>
  <pageMargins left="0.25" right="0.25" top="0.75" bottom="0.75" header="0.3" footer="0.3"/>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5BE01-5EC8-4D0A-A418-A487D47CC64D}">
  <sheetPr codeName="Sheet47">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264</v>
      </c>
      <c r="B1" s="69"/>
      <c r="C1" s="69"/>
      <c r="D1" s="69"/>
      <c r="E1" s="69"/>
      <c r="F1" s="69"/>
      <c r="G1" s="69"/>
      <c r="H1" s="69"/>
      <c r="I1" s="69"/>
      <c r="J1" s="69"/>
      <c r="K1" s="69"/>
      <c r="O1" s="70" t="s">
        <v>214</v>
      </c>
      <c r="P1" s="71"/>
      <c r="Q1" s="72"/>
    </row>
    <row r="2" spans="1:25" ht="30" customHeight="1" x14ac:dyDescent="0.2">
      <c r="A2" s="73" t="s">
        <v>215</v>
      </c>
      <c r="B2" s="74"/>
      <c r="C2" s="74"/>
      <c r="D2" s="75" t="s">
        <v>265</v>
      </c>
      <c r="E2" s="76"/>
      <c r="F2" s="76"/>
      <c r="G2" s="76"/>
      <c r="H2" s="76"/>
      <c r="I2" s="76"/>
      <c r="J2" s="76"/>
      <c r="K2" s="77"/>
    </row>
    <row r="3" spans="1:25" ht="30" customHeight="1" x14ac:dyDescent="0.2">
      <c r="A3" s="78" t="s">
        <v>217</v>
      </c>
      <c r="B3" s="79"/>
      <c r="C3" s="79"/>
      <c r="D3" s="80">
        <f>VLOOKUP($D$2,福祉!$B$2:$AG$1010,2,FALSE)</f>
        <v>43538</v>
      </c>
      <c r="E3" s="81"/>
      <c r="F3" s="81"/>
      <c r="G3" s="81"/>
      <c r="H3" s="81"/>
      <c r="I3" s="81"/>
      <c r="J3" s="81"/>
      <c r="K3" s="82"/>
    </row>
    <row r="4" spans="1:25" ht="30" customHeight="1" x14ac:dyDescent="0.2">
      <c r="A4" s="78" t="s">
        <v>218</v>
      </c>
      <c r="B4" s="79"/>
      <c r="C4" s="79"/>
      <c r="D4" s="80">
        <f>VLOOKUP($D$2,福祉!$B$2:$AG$1010,3,FALSE)</f>
        <v>45007</v>
      </c>
      <c r="E4" s="81"/>
      <c r="F4" s="81"/>
      <c r="G4" s="81"/>
      <c r="H4" s="81"/>
      <c r="I4" s="81"/>
      <c r="J4" s="81"/>
      <c r="K4" s="82"/>
    </row>
    <row r="5" spans="1:25" ht="30" customHeight="1" x14ac:dyDescent="0.2">
      <c r="A5" s="78" t="s">
        <v>219</v>
      </c>
      <c r="B5" s="79"/>
      <c r="C5" s="79"/>
      <c r="D5" s="80">
        <f>VLOOKUP($D$2,福祉!$B$2:$AG$1010,4,FALSE)</f>
        <v>46094</v>
      </c>
      <c r="E5" s="81"/>
      <c r="F5" s="81"/>
      <c r="G5" s="81"/>
      <c r="H5" s="81"/>
      <c r="I5" s="81"/>
      <c r="J5" s="81"/>
      <c r="K5" s="82"/>
    </row>
    <row r="6" spans="1:25" ht="30" customHeight="1" x14ac:dyDescent="0.2">
      <c r="A6" s="78" t="s">
        <v>220</v>
      </c>
      <c r="B6" s="79"/>
      <c r="C6" s="79"/>
      <c r="D6" s="80" t="str">
        <f>VLOOKUP($D$2,福祉!$B$2:$AG$1010,5,FALSE)</f>
        <v>特定非営利活動法人　南桧山在宅福祉支援ゆい</v>
      </c>
      <c r="E6" s="81"/>
      <c r="F6" s="81"/>
      <c r="G6" s="81"/>
      <c r="H6" s="81"/>
      <c r="I6" s="81"/>
      <c r="J6" s="81"/>
      <c r="K6" s="82"/>
    </row>
    <row r="7" spans="1:25" ht="30" customHeight="1" x14ac:dyDescent="0.2">
      <c r="A7" s="78" t="s">
        <v>221</v>
      </c>
      <c r="B7" s="79"/>
      <c r="C7" s="79"/>
      <c r="D7" s="80" t="str">
        <f>VLOOKUP($D$2,福祉!$B$2:$AG$1010,6,FALSE)</f>
        <v>小野寺　真</v>
      </c>
      <c r="E7" s="81"/>
      <c r="F7" s="81"/>
      <c r="G7" s="81"/>
      <c r="H7" s="81"/>
      <c r="I7" s="81"/>
      <c r="J7" s="81"/>
      <c r="K7" s="82"/>
    </row>
    <row r="8" spans="1:25" ht="30" customHeight="1" x14ac:dyDescent="0.2">
      <c r="A8" s="78" t="s">
        <v>222</v>
      </c>
      <c r="B8" s="79"/>
      <c r="C8" s="79"/>
      <c r="D8" s="80" t="str">
        <f>VLOOKUP($D$2,福祉!$B$2:$AG$1010,8,FALSE)</f>
        <v>檜山郡江差町字陣屋町２１番地</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特定非営利活動法人南活動法人南桧山在宅福祉支援ゆい</v>
      </c>
      <c r="E12" s="98"/>
      <c r="F12" s="98" t="str">
        <f>IFERROR(VLOOKUP($D$2,福祉!$B$2:$AG$1010,10,FALSE),0)</f>
        <v>檜山郡江差町字陣屋町２１番地</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檜山郡江差町</v>
      </c>
      <c r="E14" s="93"/>
      <c r="F14" s="93"/>
      <c r="G14" s="93"/>
      <c r="H14" s="93"/>
      <c r="I14" s="93"/>
      <c r="J14" s="93"/>
      <c r="K14" s="94"/>
      <c r="O14" s="67"/>
      <c r="X14" s="67"/>
      <c r="Y14" s="56"/>
    </row>
    <row r="15" spans="1:25" ht="30" customHeight="1" x14ac:dyDescent="0.2">
      <c r="A15" s="90" t="s">
        <v>230</v>
      </c>
      <c r="B15" s="91"/>
      <c r="C15" s="91"/>
      <c r="D15" s="103" t="str">
        <f>VLOOKUP($D$2,福祉!$B$2:$AG$1010,16,FALSE)</f>
        <v>イロ　ニホヘト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特定非営利活動法人南活動法人南桧山在宅福祉支援ゆい</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0</v>
      </c>
      <c r="G23" s="131">
        <f>IFERROR(VLOOKUP($D$2,福祉!$B$2:$AG$1010,23,FALSE),0)</f>
        <v>0</v>
      </c>
      <c r="H23" s="132">
        <f>IFERROR(VLOOKUP($D$2,福祉!$B$2:$AG$1010,25,FALSE),0)</f>
        <v>0</v>
      </c>
      <c r="I23" s="131">
        <f>IFERROR(VLOOKUP($D$2,福祉!$B$2:$AG$1010,27,FALSE),0)</f>
        <v>7</v>
      </c>
      <c r="J23" s="131">
        <f>IFERROR(VLOOKUP($D$2,福祉!$B$2:$AG$1010,29,FALSE),0)</f>
        <v>0</v>
      </c>
      <c r="K23" s="133">
        <f>SUM(E23:J23)</f>
        <v>7</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0</v>
      </c>
      <c r="I24" s="137">
        <f>IFERROR(VLOOKUP($D$2,福祉!$B$2:$AG$3010,28,FALSE),0)</f>
        <v>6</v>
      </c>
      <c r="J24" s="138"/>
      <c r="K24" s="139">
        <f>SUM(E24:I24)</f>
        <v>6</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0</v>
      </c>
      <c r="G35" s="131">
        <f t="shared" si="0"/>
        <v>0</v>
      </c>
      <c r="H35" s="132">
        <f t="shared" si="0"/>
        <v>0</v>
      </c>
      <c r="I35" s="131">
        <f t="shared" si="0"/>
        <v>7</v>
      </c>
      <c r="J35" s="131">
        <f t="shared" si="0"/>
        <v>0</v>
      </c>
      <c r="K35" s="133">
        <f>SUM(E35:J35)</f>
        <v>7</v>
      </c>
    </row>
    <row r="36" spans="1:11" ht="20.399999999999999" thickBot="1" x14ac:dyDescent="0.25">
      <c r="A36" s="155"/>
      <c r="B36" s="156"/>
      <c r="C36" s="157"/>
      <c r="D36" s="158"/>
      <c r="E36" s="159">
        <f>SUM(E24+E27+E30+E33)</f>
        <v>0</v>
      </c>
      <c r="F36" s="159">
        <f>SUM(F24+F27+F30+F33)</f>
        <v>0</v>
      </c>
      <c r="G36" s="159">
        <f>SUM(G24+G27+G30+G33)</f>
        <v>0</v>
      </c>
      <c r="H36" s="159">
        <f>SUM(H24+H27+H30+H33)</f>
        <v>0</v>
      </c>
      <c r="I36" s="160">
        <f>SUM(I24+I27+I30+I33)</f>
        <v>6</v>
      </c>
      <c r="J36" s="161"/>
      <c r="K36" s="162">
        <f>SUM(E36:I36)</f>
        <v>6</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CN3lPsl6sqrtKYS2GtKZWOwFXmK9MwkR6H5dawTfK7RfNZ8PHxFJWFKHk5whogUQzHgGeD/CuURl7VOU/DGdFQ==" saltValue="CuhdDLmNkfbBosUqnUsQV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325BE163-2B8F-43DE-B996-5DFCA7528CD3}">
      <formula1>"○"</formula1>
    </dataValidation>
    <dataValidation type="list" allowBlank="1" showInputMessage="1" sqref="A22:B33" xr:uid="{2C9B22A7-6AB2-4125-ACAA-E2201789241D}">
      <formula1>"交通空白地有償運送,福祉有償運送"</formula1>
    </dataValidation>
    <dataValidation allowBlank="1" showInputMessage="1" sqref="D2:K2" xr:uid="{5683484B-D512-49AD-8CBD-72A01DD4D49E}"/>
  </dataValidations>
  <hyperlinks>
    <hyperlink ref="O1:Q1" location="福祉!A1" display="福祉!A1" xr:uid="{B5DC7998-DCE3-4FB1-B86B-47E9CC55FB91}"/>
  </hyperlinks>
  <pageMargins left="0.25" right="0.25" top="0.75" bottom="0.75" header="0.3" footer="0.3"/>
  <pageSetup paperSize="9"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0CB1B-3AB8-41B6-9C6C-605C2B1E6B22}">
  <sheetPr codeName="Sheet48">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266</v>
      </c>
      <c r="E2" s="76"/>
      <c r="F2" s="76"/>
      <c r="G2" s="76"/>
      <c r="H2" s="76"/>
      <c r="I2" s="76"/>
      <c r="J2" s="76"/>
      <c r="K2" s="77"/>
    </row>
    <row r="3" spans="1:25" ht="30" customHeight="1" x14ac:dyDescent="0.2">
      <c r="A3" s="78" t="s">
        <v>217</v>
      </c>
      <c r="B3" s="79"/>
      <c r="C3" s="79"/>
      <c r="D3" s="80">
        <f>VLOOKUP($D$2,福祉!$B$2:$AG$1010,2,FALSE)</f>
        <v>43900</v>
      </c>
      <c r="E3" s="81"/>
      <c r="F3" s="81"/>
      <c r="G3" s="81"/>
      <c r="H3" s="81"/>
      <c r="I3" s="81"/>
      <c r="J3" s="81"/>
      <c r="K3" s="82"/>
    </row>
    <row r="4" spans="1:25" ht="30" customHeight="1" x14ac:dyDescent="0.2">
      <c r="A4" s="78" t="s">
        <v>218</v>
      </c>
      <c r="B4" s="79"/>
      <c r="C4" s="79"/>
      <c r="D4" s="80">
        <f>VLOOKUP($D$2,福祉!$B$2:$AG$1010,3,FALSE)</f>
        <v>44636</v>
      </c>
      <c r="E4" s="81"/>
      <c r="F4" s="81"/>
      <c r="G4" s="81"/>
      <c r="H4" s="81"/>
      <c r="I4" s="81"/>
      <c r="J4" s="81"/>
      <c r="K4" s="82"/>
    </row>
    <row r="5" spans="1:25" ht="30" customHeight="1" x14ac:dyDescent="0.2">
      <c r="A5" s="78" t="s">
        <v>219</v>
      </c>
      <c r="B5" s="79"/>
      <c r="C5" s="79"/>
      <c r="D5" s="80">
        <f>VLOOKUP($D$2,福祉!$B$2:$AG$1010,4,FALSE)</f>
        <v>45747</v>
      </c>
      <c r="E5" s="81"/>
      <c r="F5" s="81"/>
      <c r="G5" s="81"/>
      <c r="H5" s="81"/>
      <c r="I5" s="81"/>
      <c r="J5" s="81"/>
      <c r="K5" s="82"/>
    </row>
    <row r="6" spans="1:25" ht="30" customHeight="1" x14ac:dyDescent="0.2">
      <c r="A6" s="78" t="s">
        <v>220</v>
      </c>
      <c r="B6" s="79"/>
      <c r="C6" s="79"/>
      <c r="D6" s="80" t="str">
        <f>VLOOKUP($D$2,福祉!$B$2:$AG$1010,5,FALSE)</f>
        <v>ＮＰＯ法人ちえのわ</v>
      </c>
      <c r="E6" s="81"/>
      <c r="F6" s="81"/>
      <c r="G6" s="81"/>
      <c r="H6" s="81"/>
      <c r="I6" s="81"/>
      <c r="J6" s="81"/>
      <c r="K6" s="82"/>
    </row>
    <row r="7" spans="1:25" ht="30" customHeight="1" x14ac:dyDescent="0.2">
      <c r="A7" s="78" t="s">
        <v>221</v>
      </c>
      <c r="B7" s="79"/>
      <c r="C7" s="79"/>
      <c r="D7" s="80" t="str">
        <f>VLOOKUP($D$2,福祉!$B$2:$AG$1010,6,FALSE)</f>
        <v>小柄　千恵子</v>
      </c>
      <c r="E7" s="81"/>
      <c r="F7" s="81"/>
      <c r="G7" s="81"/>
      <c r="H7" s="81"/>
      <c r="I7" s="81"/>
      <c r="J7" s="81"/>
      <c r="K7" s="82"/>
    </row>
    <row r="8" spans="1:25" ht="30" customHeight="1" x14ac:dyDescent="0.2">
      <c r="A8" s="78" t="s">
        <v>222</v>
      </c>
      <c r="B8" s="79"/>
      <c r="C8" s="79"/>
      <c r="D8" s="80" t="str">
        <f>VLOOKUP($D$2,福祉!$B$2:$AG$1010,8,FALSE)</f>
        <v>亀田郡七飯町字上藤城３１３番地１２３</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ＮＰＯ法人ちえのわ</v>
      </c>
      <c r="E12" s="98"/>
      <c r="F12" s="98" t="str">
        <f>IFERROR(VLOOKUP($D$2,福祉!$B$2:$AG$1010,10,FALSE),0)</f>
        <v>亀田郡七飯町字上藤城３１３番地１２３</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亀田郡七飯町</v>
      </c>
      <c r="E14" s="93"/>
      <c r="F14" s="93"/>
      <c r="G14" s="93"/>
      <c r="H14" s="93"/>
      <c r="I14" s="93"/>
      <c r="J14" s="93"/>
      <c r="K14" s="94"/>
      <c r="O14" s="67"/>
      <c r="X14" s="67"/>
      <c r="Y14" s="56"/>
    </row>
    <row r="15" spans="1:25" ht="30" customHeight="1" x14ac:dyDescent="0.2">
      <c r="A15" s="90" t="s">
        <v>230</v>
      </c>
      <c r="B15" s="91"/>
      <c r="C15" s="91"/>
      <c r="D15" s="103" t="str">
        <f>VLOOKUP($D$2,福祉!$B$2:$AG$1010,16,FALSE)</f>
        <v>イロハ二ホ　</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ＮＰＯ法人ちえのわ</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0</v>
      </c>
      <c r="G23" s="131">
        <f>IFERROR(VLOOKUP($D$2,福祉!$B$2:$AG$1010,23,FALSE),0)</f>
        <v>0</v>
      </c>
      <c r="H23" s="132">
        <f>IFERROR(VLOOKUP($D$2,福祉!$B$2:$AG$1010,25,FALSE),0)</f>
        <v>0</v>
      </c>
      <c r="I23" s="131">
        <f>IFERROR(VLOOKUP($D$2,福祉!$B$2:$AG$1010,27,FALSE),0)</f>
        <v>12</v>
      </c>
      <c r="J23" s="131">
        <f>IFERROR(VLOOKUP($D$2,福祉!$B$2:$AG$1010,29,FALSE),0)</f>
        <v>0</v>
      </c>
      <c r="K23" s="133">
        <f>SUM(E23:J23)</f>
        <v>12</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0</v>
      </c>
      <c r="I24" s="137">
        <f>IFERROR(VLOOKUP($D$2,福祉!$B$2:$AG$3010,28,FALSE),0)</f>
        <v>5</v>
      </c>
      <c r="J24" s="138"/>
      <c r="K24" s="139">
        <f>SUM(E24:I24)</f>
        <v>5</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0</v>
      </c>
      <c r="G35" s="131">
        <f t="shared" si="0"/>
        <v>0</v>
      </c>
      <c r="H35" s="132">
        <f t="shared" si="0"/>
        <v>0</v>
      </c>
      <c r="I35" s="131">
        <f t="shared" si="0"/>
        <v>12</v>
      </c>
      <c r="J35" s="131">
        <f t="shared" si="0"/>
        <v>0</v>
      </c>
      <c r="K35" s="133">
        <f>SUM(E35:J35)</f>
        <v>12</v>
      </c>
    </row>
    <row r="36" spans="1:11" ht="20.399999999999999" thickBot="1" x14ac:dyDescent="0.25">
      <c r="A36" s="155"/>
      <c r="B36" s="156"/>
      <c r="C36" s="157"/>
      <c r="D36" s="158"/>
      <c r="E36" s="159">
        <f>SUM(E24+E27+E30+E33)</f>
        <v>0</v>
      </c>
      <c r="F36" s="159">
        <f>SUM(F24+F27+F30+F33)</f>
        <v>0</v>
      </c>
      <c r="G36" s="159">
        <f>SUM(G24+G27+G30+G33)</f>
        <v>0</v>
      </c>
      <c r="H36" s="159">
        <f>SUM(H24+H27+H30+H33)</f>
        <v>0</v>
      </c>
      <c r="I36" s="160">
        <f>SUM(I24+I27+I30+I33)</f>
        <v>5</v>
      </c>
      <c r="J36" s="161"/>
      <c r="K36" s="162">
        <f>SUM(E36:I36)</f>
        <v>5</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LjSHVu27RypoDK0H+dHFy+wXLSsDWzZgytyKbyI8anEGJtC8xZ6eHlbBO20sk+kIP5Zi3LLO0APCjgRxN+V5sg==" saltValue="XbHJNZeUWLZf3AfG2B/z1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E8F365CC-69DE-489D-B47E-3C94B6556F44}">
      <formula1>"○"</formula1>
    </dataValidation>
    <dataValidation type="list" allowBlank="1" showInputMessage="1" sqref="A22:B33" xr:uid="{9AB4AE1D-E677-4E02-806E-33F009011BE5}">
      <formula1>"交通空白地有償運送,福祉有償運送"</formula1>
    </dataValidation>
    <dataValidation allowBlank="1" showInputMessage="1" sqref="D2:K2" xr:uid="{113B6CAE-FC15-4E53-89AE-40A51FB09334}"/>
  </dataValidations>
  <hyperlinks>
    <hyperlink ref="O1:Q1" location="福祉!A1" display="福祉!A1" xr:uid="{27C751D5-957B-4772-82EE-B797C12963C5}"/>
  </hyperlinks>
  <pageMargins left="0.25" right="0.25" top="0.75" bottom="0.75" header="0.3" footer="0.3"/>
  <pageSetup paperSize="9" scale="9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DD459-D517-4172-947F-9076B7335AFF}">
  <sheetPr codeName="Sheet49">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267</v>
      </c>
      <c r="E2" s="76"/>
      <c r="F2" s="76"/>
      <c r="G2" s="76"/>
      <c r="H2" s="76"/>
      <c r="I2" s="76"/>
      <c r="J2" s="76"/>
      <c r="K2" s="77"/>
    </row>
    <row r="3" spans="1:25" ht="30" customHeight="1" x14ac:dyDescent="0.2">
      <c r="A3" s="78" t="s">
        <v>217</v>
      </c>
      <c r="B3" s="79"/>
      <c r="C3" s="79"/>
      <c r="D3" s="80">
        <f>VLOOKUP($D$2,福祉!$B$2:$AG$1010,2,FALSE)</f>
        <v>44936</v>
      </c>
      <c r="E3" s="81"/>
      <c r="F3" s="81"/>
      <c r="G3" s="81"/>
      <c r="H3" s="81"/>
      <c r="I3" s="81"/>
      <c r="J3" s="81"/>
      <c r="K3" s="82"/>
    </row>
    <row r="4" spans="1:25" ht="30" customHeight="1" x14ac:dyDescent="0.2">
      <c r="A4" s="78" t="s">
        <v>218</v>
      </c>
      <c r="B4" s="79"/>
      <c r="C4" s="79"/>
      <c r="D4" s="80" t="str">
        <f>VLOOKUP($D$2,福祉!$B$2:$AG$1010,3,FALSE)</f>
        <v>-</v>
      </c>
      <c r="E4" s="81"/>
      <c r="F4" s="81"/>
      <c r="G4" s="81"/>
      <c r="H4" s="81"/>
      <c r="I4" s="81"/>
      <c r="J4" s="81"/>
      <c r="K4" s="82"/>
    </row>
    <row r="5" spans="1:25" ht="30" customHeight="1" x14ac:dyDescent="0.2">
      <c r="A5" s="78" t="s">
        <v>219</v>
      </c>
      <c r="B5" s="79"/>
      <c r="C5" s="79"/>
      <c r="D5" s="80">
        <f>VLOOKUP($D$2,福祉!$B$2:$AG$1010,4,FALSE)</f>
        <v>45688</v>
      </c>
      <c r="E5" s="81"/>
      <c r="F5" s="81"/>
      <c r="G5" s="81"/>
      <c r="H5" s="81"/>
      <c r="I5" s="81"/>
      <c r="J5" s="81"/>
      <c r="K5" s="82"/>
    </row>
    <row r="6" spans="1:25" ht="30" customHeight="1" x14ac:dyDescent="0.2">
      <c r="A6" s="78" t="s">
        <v>220</v>
      </c>
      <c r="B6" s="79"/>
      <c r="C6" s="79"/>
      <c r="D6" s="80" t="str">
        <f>VLOOKUP($D$2,福祉!$B$2:$AG$1010,5,FALSE)</f>
        <v>社会福祉法人　雄心会</v>
      </c>
      <c r="E6" s="81"/>
      <c r="F6" s="81"/>
      <c r="G6" s="81"/>
      <c r="H6" s="81"/>
      <c r="I6" s="81"/>
      <c r="J6" s="81"/>
      <c r="K6" s="82"/>
    </row>
    <row r="7" spans="1:25" ht="30" customHeight="1" x14ac:dyDescent="0.2">
      <c r="A7" s="78" t="s">
        <v>221</v>
      </c>
      <c r="B7" s="79"/>
      <c r="C7" s="79"/>
      <c r="D7" s="80" t="str">
        <f>VLOOKUP($D$2,福祉!$B$2:$AG$1010,6,FALSE)</f>
        <v>伊藤　正明</v>
      </c>
      <c r="E7" s="81"/>
      <c r="F7" s="81"/>
      <c r="G7" s="81"/>
      <c r="H7" s="81"/>
      <c r="I7" s="81"/>
      <c r="J7" s="81"/>
      <c r="K7" s="82"/>
    </row>
    <row r="8" spans="1:25" ht="30" customHeight="1" x14ac:dyDescent="0.2">
      <c r="A8" s="78" t="s">
        <v>222</v>
      </c>
      <c r="B8" s="79"/>
      <c r="C8" s="79"/>
      <c r="D8" s="80" t="str">
        <f>VLOOKUP($D$2,福祉!$B$2:$AG$1010,8,FALSE)</f>
        <v>北斗市清水川４番地１</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ケアステーションかがやき</v>
      </c>
      <c r="E12" s="98"/>
      <c r="F12" s="98" t="str">
        <f>IFERROR(VLOOKUP($D$2,福祉!$B$2:$AG$1010,10,FALSE),0)</f>
        <v>久遠郡せたな町北檜山区豊岡３３７番地１</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久遠郡せたな町</v>
      </c>
      <c r="E14" s="93"/>
      <c r="F14" s="93"/>
      <c r="G14" s="93"/>
      <c r="H14" s="93"/>
      <c r="I14" s="93"/>
      <c r="J14" s="93"/>
      <c r="K14" s="94"/>
      <c r="O14" s="67"/>
      <c r="X14" s="67"/>
      <c r="Y14" s="56"/>
    </row>
    <row r="15" spans="1:25" ht="30" customHeight="1" x14ac:dyDescent="0.2">
      <c r="A15" s="90" t="s">
        <v>230</v>
      </c>
      <c r="B15" s="91"/>
      <c r="C15" s="91"/>
      <c r="D15" s="103" t="str">
        <f>VLOOKUP($D$2,福祉!$B$2:$AG$1010,16,FALSE)</f>
        <v>イロハニホヘト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ケアステーションかがやき</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2</v>
      </c>
      <c r="G23" s="131">
        <f>IFERROR(VLOOKUP($D$2,福祉!$B$2:$AG$1010,23,FALSE),0)</f>
        <v>0</v>
      </c>
      <c r="H23" s="132">
        <f>IFERROR(VLOOKUP($D$2,福祉!$B$2:$AG$1010,25,FALSE),0)</f>
        <v>3</v>
      </c>
      <c r="I23" s="131">
        <f>IFERROR(VLOOKUP($D$2,福祉!$B$2:$AG$1010,27,FALSE),0)</f>
        <v>1</v>
      </c>
      <c r="J23" s="131">
        <f>IFERROR(VLOOKUP($D$2,福祉!$B$2:$AG$1010,29,FALSE),0)</f>
        <v>0</v>
      </c>
      <c r="K23" s="133">
        <f>SUM(E23:J23)</f>
        <v>6</v>
      </c>
    </row>
    <row r="24" spans="1:24" ht="19.8" x14ac:dyDescent="0.2">
      <c r="A24" s="127"/>
      <c r="B24" s="128"/>
      <c r="C24" s="134"/>
      <c r="D24" s="135"/>
      <c r="E24" s="136">
        <f>IFERROR(VLOOKUP($D$2,福祉!$B$2:$AG$1010,20,FALSE),0)</f>
        <v>0</v>
      </c>
      <c r="F24" s="136">
        <f>IFERROR(VLOOKUP($D$2,福祉!$B$2:$AG$1010,22,FALSE),0)</f>
        <v>2</v>
      </c>
      <c r="G24" s="136">
        <f>IFERROR(VLOOKUP($D$2,福祉!$B$2:$AG$1010,24,FALSE),0)</f>
        <v>0</v>
      </c>
      <c r="H24" s="136">
        <f>IFERROR(VLOOKUP($D$2,福祉!$B$2:$AG$1010,26,FALSE),0)</f>
        <v>2</v>
      </c>
      <c r="I24" s="137">
        <f>IFERROR(VLOOKUP($D$2,福祉!$B$2:$AG$3010,28,FALSE),0)</f>
        <v>1</v>
      </c>
      <c r="J24" s="138"/>
      <c r="K24" s="139">
        <f>SUM(E24:I24)</f>
        <v>5</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2</v>
      </c>
      <c r="G35" s="131">
        <f t="shared" si="0"/>
        <v>0</v>
      </c>
      <c r="H35" s="132">
        <f t="shared" si="0"/>
        <v>3</v>
      </c>
      <c r="I35" s="131">
        <f t="shared" si="0"/>
        <v>1</v>
      </c>
      <c r="J35" s="131">
        <f t="shared" si="0"/>
        <v>0</v>
      </c>
      <c r="K35" s="133">
        <f>SUM(E35:J35)</f>
        <v>6</v>
      </c>
    </row>
    <row r="36" spans="1:11" ht="20.399999999999999" thickBot="1" x14ac:dyDescent="0.25">
      <c r="A36" s="155"/>
      <c r="B36" s="156"/>
      <c r="C36" s="157"/>
      <c r="D36" s="158"/>
      <c r="E36" s="159">
        <f>SUM(E24+E27+E30+E33)</f>
        <v>0</v>
      </c>
      <c r="F36" s="159">
        <f>SUM(F24+F27+F30+F33)</f>
        <v>2</v>
      </c>
      <c r="G36" s="159">
        <f>SUM(G24+G27+G30+G33)</f>
        <v>0</v>
      </c>
      <c r="H36" s="159">
        <f>SUM(H24+H27+H30+H33)</f>
        <v>2</v>
      </c>
      <c r="I36" s="160">
        <f>SUM(I24+I27+I30+I33)</f>
        <v>1</v>
      </c>
      <c r="J36" s="161"/>
      <c r="K36" s="162">
        <f>SUM(E36:I36)</f>
        <v>5</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QbiJjRSQ6oNZ9xyAuZwYJ1WchOUV6OTHmv9N7K3LKQvC2nloVFYAFeN+vCpZya7n0B8D3srnEpx+3sT/etvK1w==" saltValue="vtCQV6pa3Z1GrUbf0/gRb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89E7C2D5-15EA-4E5C-B349-5F8569237C21}"/>
    <dataValidation type="list" allowBlank="1" showInputMessage="1" sqref="A22:B33" xr:uid="{1E2A355C-F4CA-4914-BE50-4757876A6A64}">
      <formula1>"交通空白地有償運送,福祉有償運送"</formula1>
    </dataValidation>
    <dataValidation type="list" allowBlank="1" showInputMessage="1" sqref="D10" xr:uid="{3E51977A-E6A1-41C9-BF46-C8AB2B7105F1}">
      <formula1>"○"</formula1>
    </dataValidation>
  </dataValidations>
  <hyperlinks>
    <hyperlink ref="O1:Q1" location="福祉!A1" display="福祉!A1" xr:uid="{809FDD4C-B1AB-484F-B5D6-9829A5C075F6}"/>
  </hyperlinks>
  <pageMargins left="0.25" right="0.25" top="0.75" bottom="0.75" header="0.3" footer="0.3"/>
  <pageSetup paperSize="9" scale="9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283F2-E84F-4CE8-8AB9-56859A1DDFA8}">
  <sheetPr codeName="Sheet38">
    <tabColor rgb="FFFABF8F"/>
  </sheetPr>
  <dimension ref="A1:Y38"/>
  <sheetViews>
    <sheetView view="pageBreakPreview" zoomScaleNormal="100" zoomScaleSheetLayoutView="10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268</v>
      </c>
      <c r="E2" s="76"/>
      <c r="F2" s="76"/>
      <c r="G2" s="76"/>
      <c r="H2" s="76"/>
      <c r="I2" s="76"/>
      <c r="J2" s="76"/>
      <c r="K2" s="77"/>
    </row>
    <row r="3" spans="1:25" ht="30" customHeight="1" x14ac:dyDescent="0.2">
      <c r="A3" s="78" t="s">
        <v>217</v>
      </c>
      <c r="B3" s="79"/>
      <c r="C3" s="79"/>
      <c r="D3" s="80">
        <f>VLOOKUP($D$2,福祉!$B$2:$AG$1010,2,FALSE)</f>
        <v>45077</v>
      </c>
      <c r="E3" s="81"/>
      <c r="F3" s="81"/>
      <c r="G3" s="81"/>
      <c r="H3" s="81"/>
      <c r="I3" s="81"/>
      <c r="J3" s="81"/>
      <c r="K3" s="82"/>
    </row>
    <row r="4" spans="1:25" ht="30" customHeight="1" x14ac:dyDescent="0.2">
      <c r="A4" s="78" t="s">
        <v>218</v>
      </c>
      <c r="B4" s="79"/>
      <c r="C4" s="79"/>
      <c r="D4" s="80" t="str">
        <f>VLOOKUP($D$2,福祉!$B$2:$AG$1010,3,FALSE)</f>
        <v>-</v>
      </c>
      <c r="E4" s="81"/>
      <c r="F4" s="81"/>
      <c r="G4" s="81"/>
      <c r="H4" s="81"/>
      <c r="I4" s="81"/>
      <c r="J4" s="81"/>
      <c r="K4" s="82"/>
    </row>
    <row r="5" spans="1:25" ht="30" customHeight="1" x14ac:dyDescent="0.2">
      <c r="A5" s="78" t="s">
        <v>219</v>
      </c>
      <c r="B5" s="79"/>
      <c r="C5" s="79"/>
      <c r="D5" s="80">
        <f>VLOOKUP($D$2,福祉!$B$2:$AG$1010,4,FALSE)</f>
        <v>45808</v>
      </c>
      <c r="E5" s="81"/>
      <c r="F5" s="81"/>
      <c r="G5" s="81"/>
      <c r="H5" s="81"/>
      <c r="I5" s="81"/>
      <c r="J5" s="81"/>
      <c r="K5" s="82"/>
    </row>
    <row r="6" spans="1:25" ht="30" customHeight="1" x14ac:dyDescent="0.2">
      <c r="A6" s="78" t="s">
        <v>220</v>
      </c>
      <c r="B6" s="79"/>
      <c r="C6" s="79"/>
      <c r="D6" s="80" t="str">
        <f>VLOOKUP($D$2,福祉!$B$2:$AG$1010,5,FALSE)</f>
        <v>医療法人財団　明理会</v>
      </c>
      <c r="E6" s="81"/>
      <c r="F6" s="81"/>
      <c r="G6" s="81"/>
      <c r="H6" s="81"/>
      <c r="I6" s="81"/>
      <c r="J6" s="81"/>
      <c r="K6" s="82"/>
    </row>
    <row r="7" spans="1:25" ht="30" customHeight="1" x14ac:dyDescent="0.2">
      <c r="A7" s="78" t="s">
        <v>221</v>
      </c>
      <c r="B7" s="79"/>
      <c r="C7" s="79"/>
      <c r="D7" s="80" t="str">
        <f>VLOOKUP($D$2,福祉!$B$2:$AG$1010,6,FALSE)</f>
        <v>中村　哲也</v>
      </c>
      <c r="E7" s="81"/>
      <c r="F7" s="81"/>
      <c r="G7" s="81"/>
      <c r="H7" s="81"/>
      <c r="I7" s="81"/>
      <c r="J7" s="81"/>
      <c r="K7" s="82"/>
    </row>
    <row r="8" spans="1:25" ht="30" customHeight="1" x14ac:dyDescent="0.2">
      <c r="A8" s="78" t="s">
        <v>222</v>
      </c>
      <c r="B8" s="79"/>
      <c r="C8" s="79"/>
      <c r="D8" s="80" t="str">
        <f>VLOOKUP($D$2,福祉!$B$2:$AG$1010,8,FALSE)</f>
        <v>東京都板橋区本町３６番地３号</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道南森ロイヤル指定訪問介護事業所</v>
      </c>
      <c r="E12" s="98"/>
      <c r="F12" s="98" t="str">
        <f>IFERROR(VLOOKUP($D$2,福祉!$B$2:$AG$1010,10,FALSE),0)</f>
        <v>茅部郡森町字上台町３２６番地１１８</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茅部郡森町</v>
      </c>
      <c r="E14" s="93"/>
      <c r="F14" s="93"/>
      <c r="G14" s="93"/>
      <c r="H14" s="93"/>
      <c r="I14" s="93"/>
      <c r="J14" s="93"/>
      <c r="K14" s="94"/>
      <c r="O14" s="67"/>
      <c r="X14" s="67"/>
      <c r="Y14" s="56"/>
    </row>
    <row r="15" spans="1:25" ht="30" customHeight="1" x14ac:dyDescent="0.2">
      <c r="A15" s="90" t="s">
        <v>230</v>
      </c>
      <c r="B15" s="91"/>
      <c r="C15" s="91"/>
      <c r="D15" s="103" t="str">
        <f>VLOOKUP($D$2,福祉!$B$2:$AG$1010,16,FALSE)</f>
        <v>　　　　ニ</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道南森ロイヤル指定訪問介護事業所</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0</v>
      </c>
      <c r="G23" s="131">
        <f>IFERROR(VLOOKUP($D$2,福祉!$B$2:$AG$1010,23,FALSE),0)</f>
        <v>1</v>
      </c>
      <c r="H23" s="132">
        <f>IFERROR(VLOOKUP($D$2,福祉!$B$2:$AG$1010,25,FALSE),0)</f>
        <v>0</v>
      </c>
      <c r="I23" s="131">
        <f>IFERROR(VLOOKUP($D$2,福祉!$B$2:$AG$1010,27,FALSE),0)</f>
        <v>6</v>
      </c>
      <c r="J23" s="131">
        <f>IFERROR(VLOOKUP($D$2,福祉!$B$2:$AG$1010,29,FALSE),0)</f>
        <v>0</v>
      </c>
      <c r="K23" s="133">
        <f>SUM(E23:J23)</f>
        <v>7</v>
      </c>
    </row>
    <row r="24" spans="1:24" ht="19.8" x14ac:dyDescent="0.2">
      <c r="A24" s="127"/>
      <c r="B24" s="128"/>
      <c r="C24" s="134"/>
      <c r="D24" s="135"/>
      <c r="E24" s="136">
        <f>IFERROR(VLOOKUP($D$2,福祉!$B$2:$AG$1010,20,FALSE),0)</f>
        <v>0</v>
      </c>
      <c r="F24" s="136">
        <f>IFERROR(VLOOKUP($D$2,福祉!$B$2:$AG$1010,22,FALSE),0)</f>
        <v>0</v>
      </c>
      <c r="G24" s="136">
        <f>IFERROR(VLOOKUP($D$2,福祉!$B$2:$AG$1010,24,FALSE),0)</f>
        <v>1</v>
      </c>
      <c r="H24" s="136">
        <f>IFERROR(VLOOKUP($D$2,福祉!$B$2:$AG$1010,26,FALSE),0)</f>
        <v>0</v>
      </c>
      <c r="I24" s="137">
        <f>IFERROR(VLOOKUP($D$2,福祉!$B$2:$AG$3010,28,FALSE),0)</f>
        <v>5</v>
      </c>
      <c r="J24" s="138"/>
      <c r="K24" s="139">
        <f>SUM(E24:I24)</f>
        <v>6</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0</v>
      </c>
      <c r="G35" s="131">
        <f t="shared" si="0"/>
        <v>1</v>
      </c>
      <c r="H35" s="132">
        <f t="shared" si="0"/>
        <v>0</v>
      </c>
      <c r="I35" s="131">
        <f t="shared" si="0"/>
        <v>6</v>
      </c>
      <c r="J35" s="131">
        <f t="shared" si="0"/>
        <v>0</v>
      </c>
      <c r="K35" s="133">
        <f>SUM(E35:J35)</f>
        <v>7</v>
      </c>
    </row>
    <row r="36" spans="1:11" ht="20.399999999999999" thickBot="1" x14ac:dyDescent="0.25">
      <c r="A36" s="155"/>
      <c r="B36" s="156"/>
      <c r="C36" s="157"/>
      <c r="D36" s="158"/>
      <c r="E36" s="159">
        <f>SUM(E24+E27+E30+E33)</f>
        <v>0</v>
      </c>
      <c r="F36" s="159">
        <f>SUM(F24+F27+F30+F33)</f>
        <v>0</v>
      </c>
      <c r="G36" s="159">
        <f>SUM(G24+G27+G30+G33)</f>
        <v>1</v>
      </c>
      <c r="H36" s="159">
        <f>SUM(H24+H27+H30+H33)</f>
        <v>0</v>
      </c>
      <c r="I36" s="160">
        <f>SUM(I24+I27+I30+I33)</f>
        <v>5</v>
      </c>
      <c r="J36" s="161"/>
      <c r="K36" s="162">
        <f>SUM(E36:I36)</f>
        <v>6</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XUU5OWy9WMgAAvgopUyy/ta/wxieIMvKF9H7bznZV3RYzWqATYA54hxETjADLZquGOpdMvBQsBhsCjN0GOlgsg==" saltValue="ryYbeeerWEULPzT13O7lT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9E6849B4-05C5-46F2-8CC4-94F8EFA4D32B}">
      <formula1>"○"</formula1>
    </dataValidation>
    <dataValidation type="list" allowBlank="1" showInputMessage="1" sqref="A22:B33" xr:uid="{E712A2D1-C6AA-4585-97E8-CA4284A83E8A}">
      <formula1>"交通空白地有償運送,福祉有償運送"</formula1>
    </dataValidation>
    <dataValidation allowBlank="1" showInputMessage="1" sqref="D2:K2" xr:uid="{61A9E529-CF2F-47AF-B949-22D8A227033C}"/>
  </dataValidations>
  <hyperlinks>
    <hyperlink ref="O1:Q1" location="福祉!A1" display="福祉!A1" xr:uid="{25FF2414-48D2-48AD-903D-4A659BA8DB12}"/>
  </hyperlinks>
  <pageMargins left="0.25" right="0.25" top="0.75" bottom="0.75" header="0.3" footer="0.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83080-B795-4439-B3B2-FED14300F11A}">
  <sheetPr codeName="Sheet27">
    <tabColor rgb="FFE6B8B7"/>
  </sheetPr>
  <dimension ref="A1:Y38"/>
  <sheetViews>
    <sheetView view="pageBreakPreview" topLeftCell="A12"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216</v>
      </c>
      <c r="E2" s="76"/>
      <c r="F2" s="76"/>
      <c r="G2" s="76"/>
      <c r="H2" s="76"/>
      <c r="I2" s="76"/>
      <c r="J2" s="76"/>
      <c r="K2" s="77"/>
    </row>
    <row r="3" spans="1:25" ht="30" customHeight="1" x14ac:dyDescent="0.2">
      <c r="A3" s="78" t="s">
        <v>217</v>
      </c>
      <c r="B3" s="79"/>
      <c r="C3" s="79"/>
      <c r="D3" s="80">
        <f>VLOOKUP($D$2,福祉!$B$2:$AG$1010,2,FALSE)</f>
        <v>38806</v>
      </c>
      <c r="E3" s="81"/>
      <c r="F3" s="81"/>
      <c r="G3" s="81"/>
      <c r="H3" s="81"/>
      <c r="I3" s="81"/>
      <c r="J3" s="81"/>
      <c r="K3" s="82"/>
    </row>
    <row r="4" spans="1:25" ht="30" customHeight="1" x14ac:dyDescent="0.2">
      <c r="A4" s="78" t="s">
        <v>218</v>
      </c>
      <c r="B4" s="79"/>
      <c r="C4" s="79"/>
      <c r="D4" s="80">
        <f>VLOOKUP($D$2,福祉!$B$2:$AG$1010,3,FALSE)</f>
        <v>44974</v>
      </c>
      <c r="E4" s="81"/>
      <c r="F4" s="81"/>
      <c r="G4" s="81"/>
      <c r="H4" s="81"/>
      <c r="I4" s="81"/>
      <c r="J4" s="81"/>
      <c r="K4" s="82"/>
    </row>
    <row r="5" spans="1:25" ht="30" customHeight="1" x14ac:dyDescent="0.2">
      <c r="A5" s="78" t="s">
        <v>219</v>
      </c>
      <c r="B5" s="79"/>
      <c r="C5" s="79"/>
      <c r="D5" s="80">
        <f>VLOOKUP($D$2,福祉!$B$2:$AG$1010,4,FALSE)</f>
        <v>46081</v>
      </c>
      <c r="E5" s="81"/>
      <c r="F5" s="81"/>
      <c r="G5" s="81"/>
      <c r="H5" s="81"/>
      <c r="I5" s="81"/>
      <c r="J5" s="81"/>
      <c r="K5" s="82"/>
    </row>
    <row r="6" spans="1:25" ht="30" customHeight="1" x14ac:dyDescent="0.2">
      <c r="A6" s="78" t="s">
        <v>220</v>
      </c>
      <c r="B6" s="79"/>
      <c r="C6" s="79"/>
      <c r="D6" s="80" t="str">
        <f>VLOOKUP($D$2,福祉!$B$2:$AG$1010,5,FALSE)</f>
        <v>江差町</v>
      </c>
      <c r="E6" s="81"/>
      <c r="F6" s="81"/>
      <c r="G6" s="81"/>
      <c r="H6" s="81"/>
      <c r="I6" s="81"/>
      <c r="J6" s="81"/>
      <c r="K6" s="82"/>
    </row>
    <row r="7" spans="1:25" ht="30" customHeight="1" x14ac:dyDescent="0.2">
      <c r="A7" s="78" t="s">
        <v>221</v>
      </c>
      <c r="B7" s="79"/>
      <c r="C7" s="79"/>
      <c r="D7" s="80" t="str">
        <f>VLOOKUP($D$2,福祉!$B$2:$AG$1010,6,FALSE)</f>
        <v>照井　誉之介</v>
      </c>
      <c r="E7" s="81"/>
      <c r="F7" s="81"/>
      <c r="G7" s="81"/>
      <c r="H7" s="81"/>
      <c r="I7" s="81"/>
      <c r="J7" s="81"/>
      <c r="K7" s="82"/>
    </row>
    <row r="8" spans="1:25" ht="30" customHeight="1" x14ac:dyDescent="0.2">
      <c r="A8" s="78" t="s">
        <v>222</v>
      </c>
      <c r="B8" s="79"/>
      <c r="C8" s="79"/>
      <c r="D8" s="80" t="str">
        <f>VLOOKUP($D$2,福祉!$B$2:$AG$1010,8,FALSE)</f>
        <v>檜山郡江差町字中歌町１９３番地１</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江差町</v>
      </c>
      <c r="E12" s="98"/>
      <c r="F12" s="98" t="str">
        <f>IFERROR(VLOOKUP($D$2,福祉!$B$2:$AG$1010,10,FALSE),0)</f>
        <v>檜山郡江差町字中歌町１９３番地１</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檜山郡江差町</v>
      </c>
      <c r="E14" s="93"/>
      <c r="F14" s="93"/>
      <c r="G14" s="93"/>
      <c r="H14" s="93"/>
      <c r="I14" s="93"/>
      <c r="J14" s="93"/>
      <c r="K14" s="94"/>
      <c r="O14" s="67"/>
      <c r="X14" s="67"/>
      <c r="Y14" s="56"/>
    </row>
    <row r="15" spans="1:25" ht="30" customHeight="1" x14ac:dyDescent="0.2">
      <c r="A15" s="90" t="s">
        <v>230</v>
      </c>
      <c r="B15" s="91"/>
      <c r="C15" s="91"/>
      <c r="D15" s="103" t="str">
        <f>VLOOKUP($D$2,福祉!$B$2:$AG$1010,16,FALSE)</f>
        <v>イ　　二ホ　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江差町</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0</v>
      </c>
      <c r="G23" s="131">
        <f>IFERROR(VLOOKUP($D$2,福祉!$B$2:$AG$1010,23,FALSE),0)</f>
        <v>1</v>
      </c>
      <c r="H23" s="132">
        <f>IFERROR(VLOOKUP($D$2,福祉!$B$2:$AG$1010,25,FALSE),0)</f>
        <v>0</v>
      </c>
      <c r="I23" s="131">
        <f>IFERROR(VLOOKUP($D$2,福祉!$B$2:$AG$1010,27,FALSE),0)</f>
        <v>0</v>
      </c>
      <c r="J23" s="131">
        <f>IFERROR(VLOOKUP($D$2,福祉!$B$2:$AG$1010,29,FALSE),0)</f>
        <v>0</v>
      </c>
      <c r="K23" s="133">
        <f>SUM(E23:J23)</f>
        <v>1</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0</v>
      </c>
      <c r="I24" s="137">
        <f>IFERROR(VLOOKUP($D$2,福祉!$B$2:$AG$3010,28,FALSE),0)</f>
        <v>0</v>
      </c>
      <c r="J24" s="138"/>
      <c r="K24" s="139">
        <f>SUM(E24:I24)</f>
        <v>0</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0</v>
      </c>
      <c r="G35" s="131">
        <f t="shared" si="0"/>
        <v>1</v>
      </c>
      <c r="H35" s="132">
        <f t="shared" si="0"/>
        <v>0</v>
      </c>
      <c r="I35" s="131">
        <f t="shared" si="0"/>
        <v>0</v>
      </c>
      <c r="J35" s="131">
        <f t="shared" si="0"/>
        <v>0</v>
      </c>
      <c r="K35" s="133">
        <f>SUM(E35:J35)</f>
        <v>1</v>
      </c>
    </row>
    <row r="36" spans="1:11" ht="20.399999999999999" thickBot="1" x14ac:dyDescent="0.25">
      <c r="A36" s="155"/>
      <c r="B36" s="156"/>
      <c r="C36" s="157"/>
      <c r="D36" s="158"/>
      <c r="E36" s="159">
        <f>SUM(E24+E27+E30+E33)</f>
        <v>0</v>
      </c>
      <c r="F36" s="159">
        <f>SUM(F24+F27+F30+F33)</f>
        <v>0</v>
      </c>
      <c r="G36" s="159">
        <f>SUM(G24+G27+G30+G33)</f>
        <v>0</v>
      </c>
      <c r="H36" s="159">
        <f>SUM(H24+H27+H30+H33)</f>
        <v>0</v>
      </c>
      <c r="I36" s="160">
        <f>SUM(I24+I27+I30+I33)</f>
        <v>0</v>
      </c>
      <c r="J36" s="161"/>
      <c r="K36" s="162">
        <f>SUM(E36:I36)</f>
        <v>0</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A4+2P/++j67OIH+zUZpTSBfkXAwSmXhNWOijSQ0I6t8OGjDfPCfH3M8vEi/725Vu7EkogDuPgnj03K9QfwJRhw==" saltValue="uxPbIpGzhkGyISIwBVnZx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BB6EF16C-B6AC-4C24-B852-29C08627DEA4}">
      <formula1>"○"</formula1>
    </dataValidation>
    <dataValidation type="list" allowBlank="1" showInputMessage="1" sqref="A22:B33" xr:uid="{F514D43B-B511-4F7A-92C1-5BA7F5EA5891}">
      <formula1>"交通空白地有償運送,福祉有償運送"</formula1>
    </dataValidation>
    <dataValidation allowBlank="1" showInputMessage="1" sqref="D2:K2" xr:uid="{CA057724-2DBA-4AB4-A2BA-3FDD81D032F1}"/>
  </dataValidations>
  <hyperlinks>
    <hyperlink ref="O1:Q1" location="福祉!A1" display="福祉!A1" xr:uid="{3F4B7021-D7A0-49D7-BC46-6D8449F1C203}"/>
  </hyperlinks>
  <pageMargins left="0.25" right="0.25" top="0.75" bottom="0.75" header="0.3" footer="0.3"/>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B08B6-A54C-45CB-9F7B-36812251F930}">
  <sheetPr codeName="Sheet28">
    <tabColor rgb="FFE6B8B7"/>
  </sheetPr>
  <dimension ref="A1:Y38"/>
  <sheetViews>
    <sheetView view="pageBreakPreview" topLeftCell="A13"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247</v>
      </c>
      <c r="E2" s="76"/>
      <c r="F2" s="76"/>
      <c r="G2" s="76"/>
      <c r="H2" s="76"/>
      <c r="I2" s="76"/>
      <c r="J2" s="76"/>
      <c r="K2" s="77"/>
    </row>
    <row r="3" spans="1:25" ht="30" customHeight="1" x14ac:dyDescent="0.2">
      <c r="A3" s="78" t="s">
        <v>217</v>
      </c>
      <c r="B3" s="79"/>
      <c r="C3" s="79"/>
      <c r="D3" s="80">
        <f>VLOOKUP($D$2,福祉!$B$2:$AG$1010,2,FALSE)</f>
        <v>38621</v>
      </c>
      <c r="E3" s="81"/>
      <c r="F3" s="81"/>
      <c r="G3" s="81"/>
      <c r="H3" s="81"/>
      <c r="I3" s="81"/>
      <c r="J3" s="81"/>
      <c r="K3" s="82"/>
    </row>
    <row r="4" spans="1:25" ht="30" customHeight="1" x14ac:dyDescent="0.2">
      <c r="A4" s="78" t="s">
        <v>218</v>
      </c>
      <c r="B4" s="79"/>
      <c r="C4" s="79"/>
      <c r="D4" s="80">
        <f>VLOOKUP($D$2,福祉!$B$2:$AG$1010,3,FALSE)</f>
        <v>44987</v>
      </c>
      <c r="E4" s="81"/>
      <c r="F4" s="81"/>
      <c r="G4" s="81"/>
      <c r="H4" s="81"/>
      <c r="I4" s="81"/>
      <c r="J4" s="81"/>
      <c r="K4" s="82"/>
    </row>
    <row r="5" spans="1:25" ht="30" customHeight="1" x14ac:dyDescent="0.2">
      <c r="A5" s="78" t="s">
        <v>219</v>
      </c>
      <c r="B5" s="79"/>
      <c r="C5" s="79"/>
      <c r="D5" s="80">
        <f>VLOOKUP($D$2,福祉!$B$2:$AG$1010,4,FALSE)</f>
        <v>46081</v>
      </c>
      <c r="E5" s="81"/>
      <c r="F5" s="81"/>
      <c r="G5" s="81"/>
      <c r="H5" s="81"/>
      <c r="I5" s="81"/>
      <c r="J5" s="81"/>
      <c r="K5" s="82"/>
    </row>
    <row r="6" spans="1:25" ht="30" customHeight="1" x14ac:dyDescent="0.2">
      <c r="A6" s="78" t="s">
        <v>220</v>
      </c>
      <c r="B6" s="79"/>
      <c r="C6" s="79"/>
      <c r="D6" s="80" t="str">
        <f>VLOOKUP($D$2,福祉!$B$2:$AG$1010,5,FALSE)</f>
        <v>厚沢部町</v>
      </c>
      <c r="E6" s="81"/>
      <c r="F6" s="81"/>
      <c r="G6" s="81"/>
      <c r="H6" s="81"/>
      <c r="I6" s="81"/>
      <c r="J6" s="81"/>
      <c r="K6" s="82"/>
    </row>
    <row r="7" spans="1:25" ht="30" customHeight="1" x14ac:dyDescent="0.2">
      <c r="A7" s="78" t="s">
        <v>221</v>
      </c>
      <c r="B7" s="79"/>
      <c r="C7" s="79"/>
      <c r="D7" s="80" t="str">
        <f>VLOOKUP($D$2,福祉!$B$2:$AG$1010,6,FALSE)</f>
        <v>佐藤　正秀</v>
      </c>
      <c r="E7" s="81"/>
      <c r="F7" s="81"/>
      <c r="G7" s="81"/>
      <c r="H7" s="81"/>
      <c r="I7" s="81"/>
      <c r="J7" s="81"/>
      <c r="K7" s="82"/>
    </row>
    <row r="8" spans="1:25" ht="30" customHeight="1" x14ac:dyDescent="0.2">
      <c r="A8" s="78" t="s">
        <v>222</v>
      </c>
      <c r="B8" s="79"/>
      <c r="C8" s="79"/>
      <c r="D8" s="80" t="str">
        <f>VLOOKUP($D$2,福祉!$B$2:$AG$1010,8,FALSE)</f>
        <v>檜山郡厚沢部町新町２０７番地</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厚沢部町</v>
      </c>
      <c r="E12" s="98"/>
      <c r="F12" s="98" t="str">
        <f>IFERROR(VLOOKUP($D$2,福祉!$B$2:$AG$1010,10,FALSE),0)</f>
        <v>檜山郡厚沢部町新町２０７番地</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檜山郡厚沢部町</v>
      </c>
      <c r="E14" s="93"/>
      <c r="F14" s="93"/>
      <c r="G14" s="93"/>
      <c r="H14" s="93"/>
      <c r="I14" s="93"/>
      <c r="J14" s="93"/>
      <c r="K14" s="94"/>
      <c r="O14" s="67"/>
      <c r="X14" s="67"/>
      <c r="Y14" s="56"/>
    </row>
    <row r="15" spans="1:25" ht="33.75" customHeight="1" x14ac:dyDescent="0.2">
      <c r="A15" s="90" t="s">
        <v>230</v>
      </c>
      <c r="B15" s="91"/>
      <c r="C15" s="91"/>
      <c r="D15" s="164" t="str">
        <f>VLOOKUP($D$2,福祉!$B$2:$AG$1010,16,FALSE)</f>
        <v>厚沢部町に在宅で生活している高齢者で一般車両での乗降等が困難な者、公共交通機関の不足等により移動が制約される者であり、且つサービス調整会議で承認された者。</v>
      </c>
      <c r="E15" s="164"/>
      <c r="F15" s="164"/>
      <c r="G15" s="164"/>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厚沢部町</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6</v>
      </c>
      <c r="G23" s="131">
        <f>IFERROR(VLOOKUP($D$2,福祉!$B$2:$AG$1010,23,FALSE),0)</f>
        <v>0</v>
      </c>
      <c r="H23" s="132">
        <f>IFERROR(VLOOKUP($D$2,福祉!$B$2:$AG$1010,25,FALSE),0)</f>
        <v>0</v>
      </c>
      <c r="I23" s="131">
        <f>IFERROR(VLOOKUP($D$2,福祉!$B$2:$AG$1010,27,FALSE),0)</f>
        <v>14</v>
      </c>
      <c r="J23" s="131">
        <f>IFERROR(VLOOKUP($D$2,福祉!$B$2:$AG$1010,29,FALSE),0)</f>
        <v>0</v>
      </c>
      <c r="K23" s="133">
        <f>SUM(E23:J23)</f>
        <v>20</v>
      </c>
    </row>
    <row r="24" spans="1:24" ht="19.8" x14ac:dyDescent="0.2">
      <c r="A24" s="127"/>
      <c r="B24" s="128"/>
      <c r="C24" s="134"/>
      <c r="D24" s="135"/>
      <c r="E24" s="136">
        <f>IFERROR(VLOOKUP($D$2,福祉!$B$2:$AG$1010,20,FALSE),0)</f>
        <v>0</v>
      </c>
      <c r="F24" s="136">
        <f>IFERROR(VLOOKUP($D$2,福祉!$B$2:$AG$1010,22,FALSE),0)</f>
        <v>2</v>
      </c>
      <c r="G24" s="136">
        <f>IFERROR(VLOOKUP($D$2,福祉!$B$2:$AG$1010,24,FALSE),0)</f>
        <v>0</v>
      </c>
      <c r="H24" s="136">
        <f>IFERROR(VLOOKUP($D$2,福祉!$B$2:$AG$1010,26,FALSE),0)</f>
        <v>0</v>
      </c>
      <c r="I24" s="137">
        <f>IFERROR(VLOOKUP($D$2,福祉!$B$2:$AG$3010,28,FALSE),0)</f>
        <v>10</v>
      </c>
      <c r="J24" s="138"/>
      <c r="K24" s="139">
        <f>SUM(E24:I24)</f>
        <v>12</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6</v>
      </c>
      <c r="G35" s="131">
        <f t="shared" si="0"/>
        <v>0</v>
      </c>
      <c r="H35" s="132">
        <f t="shared" si="0"/>
        <v>0</v>
      </c>
      <c r="I35" s="131">
        <f t="shared" si="0"/>
        <v>14</v>
      </c>
      <c r="J35" s="131">
        <f t="shared" si="0"/>
        <v>0</v>
      </c>
      <c r="K35" s="133">
        <f>SUM(E35:J35)</f>
        <v>20</v>
      </c>
    </row>
    <row r="36" spans="1:11" ht="20.399999999999999" thickBot="1" x14ac:dyDescent="0.25">
      <c r="A36" s="155"/>
      <c r="B36" s="156"/>
      <c r="C36" s="157"/>
      <c r="D36" s="158"/>
      <c r="E36" s="159">
        <f>SUM(E24+E27+E30+E33)</f>
        <v>0</v>
      </c>
      <c r="F36" s="159">
        <f>SUM(F24+F27+F30+F33)</f>
        <v>2</v>
      </c>
      <c r="G36" s="159">
        <f>SUM(G24+G27+G30+G33)</f>
        <v>0</v>
      </c>
      <c r="H36" s="159">
        <f>SUM(H24+H27+H30+H33)</f>
        <v>0</v>
      </c>
      <c r="I36" s="160">
        <f>SUM(I24+I27+I30+I33)</f>
        <v>10</v>
      </c>
      <c r="J36" s="161"/>
      <c r="K36" s="162">
        <f>SUM(E36:I36)</f>
        <v>12</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sChhQlETA21NvFQTqeItEaUkQC+E07VR4dLdz4KreH56I0OTOUxYf315bsSxpd7TTOZJ44paElWAsZbQLYfZUg==" saltValue="1EyGGbM88rq7LBDoh0Ti8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58BC3DA9-650E-446E-95E9-B07BFBF8D873}">
      <formula1>"○"</formula1>
    </dataValidation>
    <dataValidation type="list" allowBlank="1" showInputMessage="1" sqref="A22:B33" xr:uid="{3FE2B67B-ACA8-4250-A90C-0CA767E124DC}">
      <formula1>"交通空白地有償運送,福祉有償運送"</formula1>
    </dataValidation>
    <dataValidation allowBlank="1" showInputMessage="1" sqref="D2:K2" xr:uid="{632902FE-B1AF-4D50-8FBC-F49FE6BB90A2}"/>
  </dataValidations>
  <hyperlinks>
    <hyperlink ref="O1:Q1" location="福祉!A1" display="福祉!A1" xr:uid="{A70226D8-1F27-4FA9-B639-B3FB7F87ED38}"/>
  </hyperlinks>
  <pageMargins left="0.25" right="0.25" top="0.75" bottom="0.75" header="0.3" footer="0.3"/>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A44DA-F946-4646-BAB5-75F6666329E2}">
  <sheetPr codeName="Sheet29">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248</v>
      </c>
      <c r="E2" s="76"/>
      <c r="F2" s="76"/>
      <c r="G2" s="76"/>
      <c r="H2" s="76"/>
      <c r="I2" s="76"/>
      <c r="J2" s="76"/>
      <c r="K2" s="77"/>
    </row>
    <row r="3" spans="1:25" ht="30" customHeight="1" x14ac:dyDescent="0.2">
      <c r="A3" s="78" t="s">
        <v>217</v>
      </c>
      <c r="B3" s="79"/>
      <c r="C3" s="79"/>
      <c r="D3" s="80">
        <f>VLOOKUP($D$2,福祉!$B$2:$AG$1010,2,FALSE)</f>
        <v>38751</v>
      </c>
      <c r="E3" s="81"/>
      <c r="F3" s="81"/>
      <c r="G3" s="81"/>
      <c r="H3" s="81"/>
      <c r="I3" s="81"/>
      <c r="J3" s="81"/>
      <c r="K3" s="82"/>
    </row>
    <row r="4" spans="1:25" ht="30" customHeight="1" x14ac:dyDescent="0.2">
      <c r="A4" s="78" t="s">
        <v>218</v>
      </c>
      <c r="B4" s="79"/>
      <c r="C4" s="79"/>
      <c r="D4" s="80">
        <f>VLOOKUP($D$2,福祉!$B$2:$AG$1010,3,FALSE)</f>
        <v>44987</v>
      </c>
      <c r="E4" s="81"/>
      <c r="F4" s="81"/>
      <c r="G4" s="81"/>
      <c r="H4" s="81"/>
      <c r="I4" s="81"/>
      <c r="J4" s="81"/>
      <c r="K4" s="82"/>
    </row>
    <row r="5" spans="1:25" ht="30" customHeight="1" x14ac:dyDescent="0.2">
      <c r="A5" s="78" t="s">
        <v>219</v>
      </c>
      <c r="B5" s="79"/>
      <c r="C5" s="79"/>
      <c r="D5" s="80">
        <f>VLOOKUP($D$2,福祉!$B$2:$AG$1010,4,FALSE)</f>
        <v>46081</v>
      </c>
      <c r="E5" s="81"/>
      <c r="F5" s="81"/>
      <c r="G5" s="81"/>
      <c r="H5" s="81"/>
      <c r="I5" s="81"/>
      <c r="J5" s="81"/>
      <c r="K5" s="82"/>
    </row>
    <row r="6" spans="1:25" ht="30" customHeight="1" x14ac:dyDescent="0.2">
      <c r="A6" s="78" t="s">
        <v>220</v>
      </c>
      <c r="B6" s="79"/>
      <c r="C6" s="79"/>
      <c r="D6" s="80" t="str">
        <f>VLOOKUP($D$2,福祉!$B$2:$AG$1010,5,FALSE)</f>
        <v>社会福祉法人　奥尻町社会福祉協議会</v>
      </c>
      <c r="E6" s="81"/>
      <c r="F6" s="81"/>
      <c r="G6" s="81"/>
      <c r="H6" s="81"/>
      <c r="I6" s="81"/>
      <c r="J6" s="81"/>
      <c r="K6" s="82"/>
    </row>
    <row r="7" spans="1:25" ht="30" customHeight="1" x14ac:dyDescent="0.2">
      <c r="A7" s="78" t="s">
        <v>221</v>
      </c>
      <c r="B7" s="79"/>
      <c r="C7" s="79"/>
      <c r="D7" s="80" t="str">
        <f>VLOOKUP($D$2,福祉!$B$2:$AG$1010,6,FALSE)</f>
        <v>小林　賢三</v>
      </c>
      <c r="E7" s="81"/>
      <c r="F7" s="81"/>
      <c r="G7" s="81"/>
      <c r="H7" s="81"/>
      <c r="I7" s="81"/>
      <c r="J7" s="81"/>
      <c r="K7" s="82"/>
    </row>
    <row r="8" spans="1:25" ht="30" customHeight="1" x14ac:dyDescent="0.2">
      <c r="A8" s="78" t="s">
        <v>222</v>
      </c>
      <c r="B8" s="79"/>
      <c r="C8" s="79"/>
      <c r="D8" s="80" t="str">
        <f>VLOOKUP($D$2,福祉!$B$2:$AG$1010,8,FALSE)</f>
        <v>奥尻郡奥尻町字奥尻４６２番地</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社会福祉法人奥尻町社会福祉協議会</v>
      </c>
      <c r="E12" s="98"/>
      <c r="F12" s="98" t="str">
        <f>IFERROR(VLOOKUP($D$2,福祉!$B$2:$AG$1010,10,FALSE),0)</f>
        <v>奥尻郡奥尻町字奥尻４６２番地</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奥尻郡奥尻町</v>
      </c>
      <c r="E14" s="93"/>
      <c r="F14" s="93"/>
      <c r="G14" s="93"/>
      <c r="H14" s="93"/>
      <c r="I14" s="93"/>
      <c r="J14" s="93"/>
      <c r="K14" s="94"/>
      <c r="O14" s="67"/>
      <c r="X14" s="67"/>
      <c r="Y14" s="56"/>
    </row>
    <row r="15" spans="1:25" ht="30" customHeight="1" x14ac:dyDescent="0.2">
      <c r="A15" s="90" t="s">
        <v>230</v>
      </c>
      <c r="B15" s="91"/>
      <c r="C15" s="91"/>
      <c r="D15" s="103" t="str">
        <f>VLOOKUP($D$2,福祉!$B$2:$AG$1010,16,FALSE)</f>
        <v>イロハニホヘト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社会福祉法人奥尻町社会福祉協議会</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3</v>
      </c>
      <c r="G23" s="131">
        <f>IFERROR(VLOOKUP($D$2,福祉!$B$2:$AG$1010,23,FALSE),0)</f>
        <v>0</v>
      </c>
      <c r="H23" s="132">
        <f>IFERROR(VLOOKUP($D$2,福祉!$B$2:$AG$1010,25,FALSE),0)</f>
        <v>0</v>
      </c>
      <c r="I23" s="131">
        <f>IFERROR(VLOOKUP($D$2,福祉!$B$2:$AG$1010,27,FALSE),0)</f>
        <v>1</v>
      </c>
      <c r="J23" s="131">
        <f>IFERROR(VLOOKUP($D$2,福祉!$B$2:$AG$1010,29,FALSE),0)</f>
        <v>0</v>
      </c>
      <c r="K23" s="133">
        <f>SUM(E23:J23)</f>
        <v>4</v>
      </c>
    </row>
    <row r="24" spans="1:24" ht="19.8" x14ac:dyDescent="0.2">
      <c r="A24" s="127"/>
      <c r="B24" s="128"/>
      <c r="C24" s="134"/>
      <c r="D24" s="135"/>
      <c r="E24" s="136">
        <f>IFERROR(VLOOKUP($D$2,福祉!$B$2:$AG$1010,20,FALSE),0)</f>
        <v>0</v>
      </c>
      <c r="F24" s="136">
        <f>IFERROR(VLOOKUP($D$2,福祉!$B$2:$AG$1010,22,FALSE),0)</f>
        <v>3</v>
      </c>
      <c r="G24" s="136">
        <f>IFERROR(VLOOKUP($D$2,福祉!$B$2:$AG$1010,24,FALSE),0)</f>
        <v>0</v>
      </c>
      <c r="H24" s="136">
        <f>IFERROR(VLOOKUP($D$2,福祉!$B$2:$AG$1010,26,FALSE),0)</f>
        <v>0</v>
      </c>
      <c r="I24" s="137">
        <f>IFERROR(VLOOKUP($D$2,福祉!$B$2:$AG$3010,28,FALSE),0)</f>
        <v>1</v>
      </c>
      <c r="J24" s="138"/>
      <c r="K24" s="139">
        <f>SUM(E24:I24)</f>
        <v>4</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3</v>
      </c>
      <c r="G35" s="131">
        <f t="shared" si="0"/>
        <v>0</v>
      </c>
      <c r="H35" s="132">
        <f t="shared" si="0"/>
        <v>0</v>
      </c>
      <c r="I35" s="131">
        <f t="shared" si="0"/>
        <v>1</v>
      </c>
      <c r="J35" s="131">
        <f t="shared" si="0"/>
        <v>0</v>
      </c>
      <c r="K35" s="133">
        <f>SUM(E35:J35)</f>
        <v>4</v>
      </c>
    </row>
    <row r="36" spans="1:11" ht="20.399999999999999" thickBot="1" x14ac:dyDescent="0.25">
      <c r="A36" s="155"/>
      <c r="B36" s="156"/>
      <c r="C36" s="157"/>
      <c r="D36" s="158"/>
      <c r="E36" s="159">
        <f>SUM(E24+E27+E30+E33)</f>
        <v>0</v>
      </c>
      <c r="F36" s="159">
        <f>SUM(F24+F27+F30+F33)</f>
        <v>3</v>
      </c>
      <c r="G36" s="159">
        <f>SUM(G24+G27+G30+G33)</f>
        <v>0</v>
      </c>
      <c r="H36" s="159">
        <f>SUM(H24+H27+H30+H33)</f>
        <v>0</v>
      </c>
      <c r="I36" s="160">
        <f>SUM(I24+I27+I30+I33)</f>
        <v>1</v>
      </c>
      <c r="J36" s="161"/>
      <c r="K36" s="162">
        <f>SUM(E36:I36)</f>
        <v>4</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1RMOle+yVTiAOpMTu8TRrhx4tJ2jK/v4OP+wa7FOn7rs3r54dtTV9svZVM95aOBNZaDJYP5jCffFdfpbooR/w==" saltValue="4c+yvIocoaxJmqSPlrK0d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FFBD3E68-BEA0-44D7-A06A-B6CD879F3DA6}">
      <formula1>"○"</formula1>
    </dataValidation>
    <dataValidation type="list" allowBlank="1" showInputMessage="1" sqref="A22:B33" xr:uid="{9A137B7D-5497-46B5-B3D5-BBAF0BD92048}">
      <formula1>"交通空白地有償運送,福祉有償運送"</formula1>
    </dataValidation>
    <dataValidation allowBlank="1" showInputMessage="1" sqref="D2:K2" xr:uid="{98F9BF0B-940E-45D6-A53D-5CCB27FE55F0}"/>
  </dataValidations>
  <hyperlinks>
    <hyperlink ref="O1:Q1" location="福祉!A1" display="福祉!A1" xr:uid="{84C65405-0084-4B82-869A-6CDCBA303CBD}"/>
  </hyperlinks>
  <pageMargins left="0.25" right="0.25" top="0.75" bottom="0.75" header="0.3" footer="0.3"/>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60D9F-E573-47AB-AA8F-A869036750EB}">
  <sheetPr codeName="Sheet30">
    <tabColor rgb="FFFABF8F"/>
  </sheetPr>
  <dimension ref="A1:Y38"/>
  <sheetViews>
    <sheetView view="pageBreakPreview" topLeftCell="A4"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249</v>
      </c>
      <c r="E2" s="76"/>
      <c r="F2" s="76"/>
      <c r="G2" s="76"/>
      <c r="H2" s="76"/>
      <c r="I2" s="76"/>
      <c r="J2" s="76"/>
      <c r="K2" s="77"/>
    </row>
    <row r="3" spans="1:25" ht="30" customHeight="1" x14ac:dyDescent="0.2">
      <c r="A3" s="78" t="s">
        <v>217</v>
      </c>
      <c r="B3" s="79"/>
      <c r="C3" s="79"/>
      <c r="D3" s="80">
        <f>VLOOKUP($D$2,福祉!$B$2:$AG$1010,2,FALSE)</f>
        <v>38775</v>
      </c>
      <c r="E3" s="81"/>
      <c r="F3" s="81"/>
      <c r="G3" s="81"/>
      <c r="H3" s="81"/>
      <c r="I3" s="81"/>
      <c r="J3" s="81"/>
      <c r="K3" s="82"/>
    </row>
    <row r="4" spans="1:25" ht="30" customHeight="1" x14ac:dyDescent="0.2">
      <c r="A4" s="78" t="s">
        <v>218</v>
      </c>
      <c r="B4" s="79"/>
      <c r="C4" s="79"/>
      <c r="D4" s="80">
        <f>VLOOKUP($D$2,福祉!$B$2:$AG$1010,3,FALSE)</f>
        <v>44978</v>
      </c>
      <c r="E4" s="81"/>
      <c r="F4" s="81"/>
      <c r="G4" s="81"/>
      <c r="H4" s="81"/>
      <c r="I4" s="81"/>
      <c r="J4" s="81"/>
      <c r="K4" s="82"/>
    </row>
    <row r="5" spans="1:25" ht="30" customHeight="1" x14ac:dyDescent="0.2">
      <c r="A5" s="78" t="s">
        <v>219</v>
      </c>
      <c r="B5" s="79"/>
      <c r="C5" s="79"/>
      <c r="D5" s="80">
        <f>VLOOKUP($D$2,福祉!$B$2:$AG$1010,4,FALSE)</f>
        <v>46081</v>
      </c>
      <c r="E5" s="81"/>
      <c r="F5" s="81"/>
      <c r="G5" s="81"/>
      <c r="H5" s="81"/>
      <c r="I5" s="81"/>
      <c r="J5" s="81"/>
      <c r="K5" s="82"/>
    </row>
    <row r="6" spans="1:25" ht="30" customHeight="1" x14ac:dyDescent="0.2">
      <c r="A6" s="78" t="s">
        <v>220</v>
      </c>
      <c r="B6" s="79"/>
      <c r="C6" s="79"/>
      <c r="D6" s="80" t="str">
        <f>VLOOKUP($D$2,福祉!$B$2:$AG$1010,5,FALSE)</f>
        <v>社会福祉法人　厚沢部町社会福祉協議会</v>
      </c>
      <c r="E6" s="81"/>
      <c r="F6" s="81"/>
      <c r="G6" s="81"/>
      <c r="H6" s="81"/>
      <c r="I6" s="81"/>
      <c r="J6" s="81"/>
      <c r="K6" s="82"/>
    </row>
    <row r="7" spans="1:25" ht="30" customHeight="1" x14ac:dyDescent="0.2">
      <c r="A7" s="78" t="s">
        <v>221</v>
      </c>
      <c r="B7" s="79"/>
      <c r="C7" s="79"/>
      <c r="D7" s="80" t="str">
        <f>VLOOKUP($D$2,福祉!$B$2:$AG$1010,6,FALSE)</f>
        <v>山畔　清悦</v>
      </c>
      <c r="E7" s="81"/>
      <c r="F7" s="81"/>
      <c r="G7" s="81"/>
      <c r="H7" s="81"/>
      <c r="I7" s="81"/>
      <c r="J7" s="81"/>
      <c r="K7" s="82"/>
    </row>
    <row r="8" spans="1:25" ht="30" customHeight="1" x14ac:dyDescent="0.2">
      <c r="A8" s="78" t="s">
        <v>222</v>
      </c>
      <c r="B8" s="79"/>
      <c r="C8" s="79"/>
      <c r="D8" s="80" t="str">
        <f>VLOOKUP($D$2,福祉!$B$2:$AG$1010,8,FALSE)</f>
        <v>檜山郡厚沢部町新町１８１番地の６</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社会福祉法人厚沢部町社会福祉協議会</v>
      </c>
      <c r="E12" s="98"/>
      <c r="F12" s="98" t="str">
        <f>IFERROR(VLOOKUP($D$2,福祉!$B$2:$AG$1010,10,FALSE),0)</f>
        <v>檜山郡厚沢部町新町１８１番地の６</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檜山郡厚沢部町</v>
      </c>
      <c r="E14" s="93"/>
      <c r="F14" s="93"/>
      <c r="G14" s="93"/>
      <c r="H14" s="93"/>
      <c r="I14" s="93"/>
      <c r="J14" s="93"/>
      <c r="K14" s="94"/>
      <c r="O14" s="67"/>
      <c r="X14" s="67"/>
      <c r="Y14" s="56"/>
    </row>
    <row r="15" spans="1:25" ht="30" customHeight="1" x14ac:dyDescent="0.2">
      <c r="A15" s="90" t="s">
        <v>230</v>
      </c>
      <c r="B15" s="91"/>
      <c r="C15" s="91"/>
      <c r="D15" s="103" t="str">
        <f>VLOOKUP($D$2,福祉!$B$2:$AG$1010,16,FALSE)</f>
        <v>イ　　二ホ　ト</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社会福祉法人厚沢部町社会福祉協議会</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6</v>
      </c>
      <c r="G23" s="131">
        <f>IFERROR(VLOOKUP($D$2,福祉!$B$2:$AG$1010,23,FALSE),0)</f>
        <v>0</v>
      </c>
      <c r="H23" s="132">
        <f>IFERROR(VLOOKUP($D$2,福祉!$B$2:$AG$1010,25,FALSE),0)</f>
        <v>0</v>
      </c>
      <c r="I23" s="131">
        <f>IFERROR(VLOOKUP($D$2,福祉!$B$2:$AG$1010,27,FALSE),0)</f>
        <v>15</v>
      </c>
      <c r="J23" s="131">
        <f>IFERROR(VLOOKUP($D$2,福祉!$B$2:$AG$1010,29,FALSE),0)</f>
        <v>0</v>
      </c>
      <c r="K23" s="133">
        <f>SUM(E23:J23)</f>
        <v>21</v>
      </c>
    </row>
    <row r="24" spans="1:24" ht="19.8" x14ac:dyDescent="0.2">
      <c r="A24" s="127"/>
      <c r="B24" s="128"/>
      <c r="C24" s="134"/>
      <c r="D24" s="135"/>
      <c r="E24" s="136">
        <f>IFERROR(VLOOKUP($D$2,福祉!$B$2:$AG$1010,20,FALSE),0)</f>
        <v>0</v>
      </c>
      <c r="F24" s="136">
        <f>IFERROR(VLOOKUP($D$2,福祉!$B$2:$AG$1010,22,FALSE),0)</f>
        <v>2</v>
      </c>
      <c r="G24" s="136">
        <f>IFERROR(VLOOKUP($D$2,福祉!$B$2:$AG$1010,24,FALSE),0)</f>
        <v>0</v>
      </c>
      <c r="H24" s="136">
        <f>IFERROR(VLOOKUP($D$2,福祉!$B$2:$AG$1010,26,FALSE),0)</f>
        <v>0</v>
      </c>
      <c r="I24" s="137">
        <f>IFERROR(VLOOKUP($D$2,福祉!$B$2:$AG$3010,28,FALSE),0)</f>
        <v>10</v>
      </c>
      <c r="J24" s="138"/>
      <c r="K24" s="139">
        <f>SUM(E24:I24)</f>
        <v>12</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6</v>
      </c>
      <c r="G35" s="131">
        <f t="shared" si="0"/>
        <v>0</v>
      </c>
      <c r="H35" s="132">
        <f t="shared" si="0"/>
        <v>0</v>
      </c>
      <c r="I35" s="131">
        <f t="shared" si="0"/>
        <v>15</v>
      </c>
      <c r="J35" s="131">
        <f t="shared" si="0"/>
        <v>0</v>
      </c>
      <c r="K35" s="133">
        <f>SUM(E35:J35)</f>
        <v>21</v>
      </c>
    </row>
    <row r="36" spans="1:11" ht="20.399999999999999" thickBot="1" x14ac:dyDescent="0.25">
      <c r="A36" s="155"/>
      <c r="B36" s="156"/>
      <c r="C36" s="157"/>
      <c r="D36" s="158"/>
      <c r="E36" s="159">
        <f>SUM(E24+E27+E30+E33)</f>
        <v>0</v>
      </c>
      <c r="F36" s="159">
        <f>SUM(F24+F27+F30+F33)</f>
        <v>2</v>
      </c>
      <c r="G36" s="159">
        <f>SUM(G24+G27+G30+G33)</f>
        <v>0</v>
      </c>
      <c r="H36" s="159">
        <f>SUM(H24+H27+H30+H33)</f>
        <v>0</v>
      </c>
      <c r="I36" s="160">
        <f>SUM(I24+I27+I30+I33)</f>
        <v>10</v>
      </c>
      <c r="J36" s="161"/>
      <c r="K36" s="162">
        <f>SUM(E36:I36)</f>
        <v>12</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lm/hLdG/T2HUGG7USvyWB8Idsh4uObi/k37pHiR2bv06GG3cCdylm5n3rNmMH7uTgcQf5sgCzPSp7upvWIUXnA==" saltValue="8OsdMXJuYxOQFMqdm6hxb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1E320083-B885-46DD-BCD0-F7F9EDA5C1F4}">
      <formula1>"○"</formula1>
    </dataValidation>
    <dataValidation type="list" allowBlank="1" showInputMessage="1" sqref="A22:B33" xr:uid="{1E2387B9-81E9-4DAE-8001-58AA849556D2}">
      <formula1>"交通空白地有償運送,福祉有償運送"</formula1>
    </dataValidation>
    <dataValidation allowBlank="1" showInputMessage="1" sqref="D2:K2" xr:uid="{73563DFE-5D73-4BC3-B529-A4391B85E164}"/>
  </dataValidations>
  <hyperlinks>
    <hyperlink ref="O1:Q1" location="福祉!A1" display="福祉!A1" xr:uid="{71A02D3A-DDB0-49D3-B05C-B405E54F41B6}"/>
  </hyperlinks>
  <pageMargins left="0.25" right="0.25" top="0.75" bottom="0.75" header="0.3" footer="0.3"/>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F9A8F-7E88-499B-BABD-E7406E7A5A10}">
  <sheetPr codeName="Sheet31">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250</v>
      </c>
      <c r="E2" s="76"/>
      <c r="F2" s="76"/>
      <c r="G2" s="76"/>
      <c r="H2" s="76"/>
      <c r="I2" s="76"/>
      <c r="J2" s="76"/>
      <c r="K2" s="77"/>
    </row>
    <row r="3" spans="1:25" ht="30" customHeight="1" x14ac:dyDescent="0.2">
      <c r="A3" s="78" t="s">
        <v>217</v>
      </c>
      <c r="B3" s="79"/>
      <c r="C3" s="79"/>
      <c r="D3" s="80">
        <f>VLOOKUP($D$2,福祉!$B$2:$AG$1010,2,FALSE)</f>
        <v>38807</v>
      </c>
      <c r="E3" s="81"/>
      <c r="F3" s="81"/>
      <c r="G3" s="81"/>
      <c r="H3" s="81"/>
      <c r="I3" s="81"/>
      <c r="J3" s="81"/>
      <c r="K3" s="82"/>
    </row>
    <row r="4" spans="1:25" ht="30" customHeight="1" x14ac:dyDescent="0.2">
      <c r="A4" s="78" t="s">
        <v>218</v>
      </c>
      <c r="B4" s="79"/>
      <c r="C4" s="79"/>
      <c r="D4" s="80">
        <f>VLOOKUP($D$2,福祉!$B$2:$AG$1010,3,FALSE)</f>
        <v>45037</v>
      </c>
      <c r="E4" s="81"/>
      <c r="F4" s="81"/>
      <c r="G4" s="81"/>
      <c r="H4" s="81"/>
      <c r="I4" s="81"/>
      <c r="J4" s="81"/>
      <c r="K4" s="82"/>
    </row>
    <row r="5" spans="1:25" ht="30" customHeight="1" x14ac:dyDescent="0.2">
      <c r="A5" s="78" t="s">
        <v>219</v>
      </c>
      <c r="B5" s="79"/>
      <c r="C5" s="79"/>
      <c r="D5" s="80">
        <f>VLOOKUP($D$2,福祉!$B$2:$AG$1010,4,FALSE)</f>
        <v>46142</v>
      </c>
      <c r="E5" s="81"/>
      <c r="F5" s="81"/>
      <c r="G5" s="81"/>
      <c r="H5" s="81"/>
      <c r="I5" s="81"/>
      <c r="J5" s="81"/>
      <c r="K5" s="82"/>
    </row>
    <row r="6" spans="1:25" ht="30" customHeight="1" x14ac:dyDescent="0.2">
      <c r="A6" s="78" t="s">
        <v>220</v>
      </c>
      <c r="B6" s="79"/>
      <c r="C6" s="79"/>
      <c r="D6" s="80" t="str">
        <f>VLOOKUP($D$2,福祉!$B$2:$AG$1010,5,FALSE)</f>
        <v>社会福祉法人　松前町社会福祉協議会</v>
      </c>
      <c r="E6" s="81"/>
      <c r="F6" s="81"/>
      <c r="G6" s="81"/>
      <c r="H6" s="81"/>
      <c r="I6" s="81"/>
      <c r="J6" s="81"/>
      <c r="K6" s="82"/>
    </row>
    <row r="7" spans="1:25" ht="30" customHeight="1" x14ac:dyDescent="0.2">
      <c r="A7" s="78" t="s">
        <v>221</v>
      </c>
      <c r="B7" s="79"/>
      <c r="C7" s="79"/>
      <c r="D7" s="80" t="str">
        <f>VLOOKUP($D$2,福祉!$B$2:$AG$1010,6,FALSE)</f>
        <v>長瀬　弘雄</v>
      </c>
      <c r="E7" s="81"/>
      <c r="F7" s="81"/>
      <c r="G7" s="81"/>
      <c r="H7" s="81"/>
      <c r="I7" s="81"/>
      <c r="J7" s="81"/>
      <c r="K7" s="82"/>
    </row>
    <row r="8" spans="1:25" ht="30" customHeight="1" x14ac:dyDescent="0.2">
      <c r="A8" s="78" t="s">
        <v>222</v>
      </c>
      <c r="B8" s="79"/>
      <c r="C8" s="79"/>
      <c r="D8" s="80" t="str">
        <f>VLOOKUP($D$2,福祉!$B$2:$AG$1010,8,FALSE)</f>
        <v>松前郡松前町字福山２３６番地の４</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社会福祉法人松前町社会福祉協議会</v>
      </c>
      <c r="E12" s="98"/>
      <c r="F12" s="98" t="str">
        <f>IFERROR(VLOOKUP($D$2,福祉!$B$2:$AG$1010,10,FALSE),0)</f>
        <v>松前郡松前郡松前町字福山２３６番地の４</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松前郡松前町</v>
      </c>
      <c r="E14" s="93"/>
      <c r="F14" s="93"/>
      <c r="G14" s="93"/>
      <c r="H14" s="93"/>
      <c r="I14" s="93"/>
      <c r="J14" s="93"/>
      <c r="K14" s="94"/>
      <c r="O14" s="67"/>
      <c r="X14" s="67"/>
      <c r="Y14" s="56"/>
    </row>
    <row r="15" spans="1:25" ht="30" customHeight="1" x14ac:dyDescent="0.2">
      <c r="A15" s="90" t="s">
        <v>230</v>
      </c>
      <c r="B15" s="91"/>
      <c r="C15" s="91"/>
      <c r="D15" s="103" t="str">
        <f>VLOOKUP($D$2,福祉!$B$2:$AG$1010,16,FALSE)</f>
        <v>イ　　二</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社会福祉法人松前町社会福祉協議会</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0</v>
      </c>
      <c r="G23" s="131">
        <f>IFERROR(VLOOKUP($D$2,福祉!$B$2:$AG$1010,23,FALSE),0)</f>
        <v>1</v>
      </c>
      <c r="H23" s="132">
        <f>IFERROR(VLOOKUP($D$2,福祉!$B$2:$AG$1010,25,FALSE),0)</f>
        <v>1</v>
      </c>
      <c r="I23" s="131">
        <f>IFERROR(VLOOKUP($D$2,福祉!$B$2:$AG$1010,27,FALSE),0)</f>
        <v>3</v>
      </c>
      <c r="J23" s="131">
        <f>IFERROR(VLOOKUP($D$2,福祉!$B$2:$AG$1010,29,FALSE),0)</f>
        <v>0</v>
      </c>
      <c r="K23" s="133">
        <f>SUM(E23:J23)</f>
        <v>5</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1</v>
      </c>
      <c r="I24" s="137">
        <f>IFERROR(VLOOKUP($D$2,福祉!$B$2:$AG$3010,28,FALSE),0)</f>
        <v>3</v>
      </c>
      <c r="J24" s="138"/>
      <c r="K24" s="139">
        <f>SUM(E24:I24)</f>
        <v>4</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0</v>
      </c>
      <c r="G35" s="131">
        <f t="shared" si="0"/>
        <v>1</v>
      </c>
      <c r="H35" s="132">
        <f t="shared" si="0"/>
        <v>1</v>
      </c>
      <c r="I35" s="131">
        <f t="shared" si="0"/>
        <v>3</v>
      </c>
      <c r="J35" s="131">
        <f t="shared" si="0"/>
        <v>0</v>
      </c>
      <c r="K35" s="133">
        <f>SUM(E35:J35)</f>
        <v>5</v>
      </c>
    </row>
    <row r="36" spans="1:11" ht="20.399999999999999" thickBot="1" x14ac:dyDescent="0.25">
      <c r="A36" s="155"/>
      <c r="B36" s="156"/>
      <c r="C36" s="157"/>
      <c r="D36" s="158"/>
      <c r="E36" s="159">
        <f>SUM(E24+E27+E30+E33)</f>
        <v>0</v>
      </c>
      <c r="F36" s="159">
        <f>SUM(F24+F27+F30+F33)</f>
        <v>0</v>
      </c>
      <c r="G36" s="159">
        <f>SUM(G24+G27+G30+G33)</f>
        <v>0</v>
      </c>
      <c r="H36" s="159">
        <f>SUM(H24+H27+H30+H33)</f>
        <v>1</v>
      </c>
      <c r="I36" s="160">
        <f>SUM(I24+I27+I30+I33)</f>
        <v>3</v>
      </c>
      <c r="J36" s="161"/>
      <c r="K36" s="162">
        <f>SUM(E36:I36)</f>
        <v>4</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7e5nFIXA+Swo7iNW9NIkufkPdIV6diY2cPwNy6XDR+WHLLEKoYizxvHy8okavUs8JstUuSWiNSCLRWTphCro0A==" saltValue="hCS3Y72XAE68JD4csdw9z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E6F97009-B7C6-4E4D-AC2F-EC9A398ABF22}">
      <formula1>"○"</formula1>
    </dataValidation>
    <dataValidation type="list" allowBlank="1" showInputMessage="1" sqref="A22:B33" xr:uid="{8A868B76-5741-4128-A04C-EB91AC4FDA65}">
      <formula1>"交通空白地有償運送,福祉有償運送"</formula1>
    </dataValidation>
    <dataValidation allowBlank="1" showInputMessage="1" sqref="D2:K2" xr:uid="{D515A2CF-EB3B-437B-8527-5F627A1F9AF6}"/>
  </dataValidations>
  <hyperlinks>
    <hyperlink ref="O1:Q1" location="福祉!A1" display="福祉!A1" xr:uid="{9F5A4876-CFED-4AC1-907C-19708F2ED327}"/>
  </hyperlinks>
  <pageMargins left="0.25" right="0.25" top="0.75" bottom="0.75" header="0.3" footer="0.3"/>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0927-6112-40B2-B97F-8E2F06BD768E}">
  <sheetPr codeName="Sheet32">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251</v>
      </c>
      <c r="E2" s="76"/>
      <c r="F2" s="76"/>
      <c r="G2" s="76"/>
      <c r="H2" s="76"/>
      <c r="I2" s="76"/>
      <c r="J2" s="76"/>
      <c r="K2" s="77"/>
    </row>
    <row r="3" spans="1:25" ht="30" customHeight="1" x14ac:dyDescent="0.2">
      <c r="A3" s="78" t="s">
        <v>217</v>
      </c>
      <c r="B3" s="79"/>
      <c r="C3" s="79"/>
      <c r="D3" s="80">
        <f>VLOOKUP($D$2,福祉!$B$2:$AG$1010,2,FALSE)</f>
        <v>38671</v>
      </c>
      <c r="E3" s="81"/>
      <c r="F3" s="81"/>
      <c r="G3" s="81"/>
      <c r="H3" s="81"/>
      <c r="I3" s="81"/>
      <c r="J3" s="81"/>
      <c r="K3" s="82"/>
    </row>
    <row r="4" spans="1:25" ht="30" customHeight="1" x14ac:dyDescent="0.2">
      <c r="A4" s="78" t="s">
        <v>218</v>
      </c>
      <c r="B4" s="79"/>
      <c r="C4" s="79"/>
      <c r="D4" s="80">
        <f>VLOOKUP($D$2,福祉!$B$2:$AG$1010,3,FALSE)</f>
        <v>44902</v>
      </c>
      <c r="E4" s="81"/>
      <c r="F4" s="81"/>
      <c r="G4" s="81"/>
      <c r="H4" s="81"/>
      <c r="I4" s="81"/>
      <c r="J4" s="81"/>
      <c r="K4" s="82"/>
    </row>
    <row r="5" spans="1:25" ht="30" customHeight="1" x14ac:dyDescent="0.2">
      <c r="A5" s="78" t="s">
        <v>219</v>
      </c>
      <c r="B5" s="79"/>
      <c r="C5" s="79"/>
      <c r="D5" s="80">
        <f>VLOOKUP($D$2,福祉!$B$2:$AG$1010,4,FALSE)</f>
        <v>45991</v>
      </c>
      <c r="E5" s="81"/>
      <c r="F5" s="81"/>
      <c r="G5" s="81"/>
      <c r="H5" s="81"/>
      <c r="I5" s="81"/>
      <c r="J5" s="81"/>
      <c r="K5" s="82"/>
    </row>
    <row r="6" spans="1:25" ht="30" customHeight="1" x14ac:dyDescent="0.2">
      <c r="A6" s="78" t="s">
        <v>220</v>
      </c>
      <c r="B6" s="79"/>
      <c r="C6" s="79"/>
      <c r="D6" s="80" t="str">
        <f>VLOOKUP($D$2,福祉!$B$2:$AG$1010,5,FALSE)</f>
        <v>社会福祉法人　福島町社会福祉協議会</v>
      </c>
      <c r="E6" s="81"/>
      <c r="F6" s="81"/>
      <c r="G6" s="81"/>
      <c r="H6" s="81"/>
      <c r="I6" s="81"/>
      <c r="J6" s="81"/>
      <c r="K6" s="82"/>
    </row>
    <row r="7" spans="1:25" ht="30" customHeight="1" x14ac:dyDescent="0.2">
      <c r="A7" s="78" t="s">
        <v>221</v>
      </c>
      <c r="B7" s="79"/>
      <c r="C7" s="79"/>
      <c r="D7" s="80" t="str">
        <f>VLOOKUP($D$2,福祉!$B$2:$AG$1010,6,FALSE)</f>
        <v>丁子谷　雅男</v>
      </c>
      <c r="E7" s="81"/>
      <c r="F7" s="81"/>
      <c r="G7" s="81"/>
      <c r="H7" s="81"/>
      <c r="I7" s="81"/>
      <c r="J7" s="81"/>
      <c r="K7" s="82"/>
    </row>
    <row r="8" spans="1:25" ht="30" customHeight="1" x14ac:dyDescent="0.2">
      <c r="A8" s="78" t="s">
        <v>222</v>
      </c>
      <c r="B8" s="79"/>
      <c r="C8" s="79"/>
      <c r="D8" s="80" t="str">
        <f>VLOOKUP($D$2,福祉!$B$2:$AG$1010,8,FALSE)</f>
        <v>松前郡福島町字三岳３２番地の３</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社会福祉法人福島町社会福祉協議会</v>
      </c>
      <c r="E12" s="98"/>
      <c r="F12" s="98" t="str">
        <f>IFERROR(VLOOKUP($D$2,福祉!$B$2:$AG$1010,10,FALSE),0)</f>
        <v>松前郡福島町字三岳３２番地の３</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松前郡福島町</v>
      </c>
      <c r="E14" s="93"/>
      <c r="F14" s="93"/>
      <c r="G14" s="93"/>
      <c r="H14" s="93"/>
      <c r="I14" s="93"/>
      <c r="J14" s="93"/>
      <c r="K14" s="94"/>
      <c r="O14" s="67"/>
      <c r="X14" s="67"/>
      <c r="Y14" s="56"/>
    </row>
    <row r="15" spans="1:25" ht="30" customHeight="1" x14ac:dyDescent="0.2">
      <c r="A15" s="90" t="s">
        <v>230</v>
      </c>
      <c r="B15" s="91"/>
      <c r="C15" s="91"/>
      <c r="D15" s="103" t="str">
        <f>VLOOKUP($D$2,福祉!$B$2:$AG$1010,16,FALSE)</f>
        <v>イ　　二ホ</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社会福祉法人福島町社会福祉協議会</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0</v>
      </c>
      <c r="G23" s="131">
        <f>IFERROR(VLOOKUP($D$2,福祉!$B$2:$AG$1010,23,FALSE),0)</f>
        <v>1</v>
      </c>
      <c r="H23" s="132">
        <f>IFERROR(VLOOKUP($D$2,福祉!$B$2:$AG$1010,25,FALSE),0)</f>
        <v>0</v>
      </c>
      <c r="I23" s="131">
        <f>IFERROR(VLOOKUP($D$2,福祉!$B$2:$AG$1010,27,FALSE),0)</f>
        <v>1</v>
      </c>
      <c r="J23" s="131">
        <f>IFERROR(VLOOKUP($D$2,福祉!$B$2:$AG$1010,29,FALSE),0)</f>
        <v>0</v>
      </c>
      <c r="K23" s="133">
        <f>SUM(E23:J23)</f>
        <v>2</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0</v>
      </c>
      <c r="I24" s="137">
        <f>IFERROR(VLOOKUP($D$2,福祉!$B$2:$AG$3010,28,FALSE),0)</f>
        <v>0</v>
      </c>
      <c r="J24" s="138"/>
      <c r="K24" s="139">
        <f>SUM(E24:I24)</f>
        <v>0</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0</v>
      </c>
      <c r="G35" s="131">
        <f t="shared" si="0"/>
        <v>1</v>
      </c>
      <c r="H35" s="132">
        <f t="shared" si="0"/>
        <v>0</v>
      </c>
      <c r="I35" s="131">
        <f t="shared" si="0"/>
        <v>1</v>
      </c>
      <c r="J35" s="131">
        <f t="shared" si="0"/>
        <v>0</v>
      </c>
      <c r="K35" s="133">
        <f>SUM(E35:J35)</f>
        <v>2</v>
      </c>
    </row>
    <row r="36" spans="1:11" ht="20.399999999999999" thickBot="1" x14ac:dyDescent="0.25">
      <c r="A36" s="155"/>
      <c r="B36" s="156"/>
      <c r="C36" s="157"/>
      <c r="D36" s="158"/>
      <c r="E36" s="159">
        <f>SUM(E24+E27+E30+E33)</f>
        <v>0</v>
      </c>
      <c r="F36" s="159">
        <f>SUM(F24+F27+F30+F33)</f>
        <v>0</v>
      </c>
      <c r="G36" s="159">
        <f>SUM(G24+G27+G30+G33)</f>
        <v>0</v>
      </c>
      <c r="H36" s="159">
        <f>SUM(H24+H27+H30+H33)</f>
        <v>0</v>
      </c>
      <c r="I36" s="160">
        <f>SUM(I24+I27+I30+I33)</f>
        <v>0</v>
      </c>
      <c r="J36" s="161"/>
      <c r="K36" s="162">
        <f>SUM(E36:I36)</f>
        <v>0</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yCEF5AUr8qtE5pjFbGULiQnM7rma/mrpLKSIAtwIThzYNy96/UL/vE9GAM7m6MwFIE6t3x82e+GLeS+oIohYQ==" saltValue="peZSpYjEM6VKWR/7HEvAI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098872C2-96B0-457A-A38C-3C115340CD76}">
      <formula1>"○"</formula1>
    </dataValidation>
    <dataValidation type="list" allowBlank="1" showInputMessage="1" sqref="A22:B33" xr:uid="{24FE0ED2-A1AE-4A6D-A494-99945C91FD77}">
      <formula1>"交通空白地有償運送,福祉有償運送"</formula1>
    </dataValidation>
    <dataValidation allowBlank="1" showInputMessage="1" sqref="D2:K2" xr:uid="{E65E3985-5C3C-43A2-9B22-B8733D37E28F}"/>
  </dataValidations>
  <hyperlinks>
    <hyperlink ref="O1:Q1" location="福祉!A1" display="福祉!A1" xr:uid="{62817F28-0A61-4ADA-AD00-6485EBA8DEB2}"/>
  </hyperlinks>
  <pageMargins left="0.25" right="0.25" top="0.75" bottom="0.75" header="0.3" footer="0.3"/>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604B-5EA8-4493-8502-D169B60B88BD}">
  <sheetPr codeName="Sheet33">
    <tabColor rgb="FFFABF8F"/>
  </sheetPr>
  <dimension ref="A1:Y38"/>
  <sheetViews>
    <sheetView view="pageBreakPreview" zoomScale="70" zoomScaleNormal="100" zoomScaleSheetLayoutView="70" workbookViewId="0">
      <selection activeCell="B3" sqref="B3"/>
    </sheetView>
  </sheetViews>
  <sheetFormatPr defaultColWidth="9" defaultRowHeight="18" x14ac:dyDescent="0.2"/>
  <cols>
    <col min="1" max="11" width="9.6640625" style="60" customWidth="1"/>
    <col min="12" max="16384" width="9" style="60"/>
  </cols>
  <sheetData>
    <row r="1" spans="1:25" ht="30" customHeight="1" thickBot="1" x14ac:dyDescent="0.25">
      <c r="A1" s="68" t="s">
        <v>213</v>
      </c>
      <c r="B1" s="69"/>
      <c r="C1" s="69"/>
      <c r="D1" s="69"/>
      <c r="E1" s="69"/>
      <c r="F1" s="69"/>
      <c r="G1" s="69"/>
      <c r="H1" s="69"/>
      <c r="I1" s="69"/>
      <c r="J1" s="69"/>
      <c r="K1" s="69"/>
      <c r="O1" s="70" t="s">
        <v>214</v>
      </c>
      <c r="P1" s="71"/>
      <c r="Q1" s="72"/>
    </row>
    <row r="2" spans="1:25" ht="30" customHeight="1" x14ac:dyDescent="0.2">
      <c r="A2" s="73" t="s">
        <v>215</v>
      </c>
      <c r="B2" s="74"/>
      <c r="C2" s="74"/>
      <c r="D2" s="75" t="s">
        <v>252</v>
      </c>
      <c r="E2" s="76"/>
      <c r="F2" s="76"/>
      <c r="G2" s="76"/>
      <c r="H2" s="76"/>
      <c r="I2" s="76"/>
      <c r="J2" s="76"/>
      <c r="K2" s="77"/>
    </row>
    <row r="3" spans="1:25" ht="30" customHeight="1" x14ac:dyDescent="0.2">
      <c r="A3" s="78" t="s">
        <v>217</v>
      </c>
      <c r="B3" s="79"/>
      <c r="C3" s="79"/>
      <c r="D3" s="80">
        <f>VLOOKUP($D$2,福祉!$B$2:$AG$1010,2,FALSE)</f>
        <v>38804</v>
      </c>
      <c r="E3" s="81"/>
      <c r="F3" s="81"/>
      <c r="G3" s="81"/>
      <c r="H3" s="81"/>
      <c r="I3" s="81"/>
      <c r="J3" s="81"/>
      <c r="K3" s="82"/>
    </row>
    <row r="4" spans="1:25" ht="30" customHeight="1" x14ac:dyDescent="0.2">
      <c r="A4" s="78" t="s">
        <v>218</v>
      </c>
      <c r="B4" s="79"/>
      <c r="C4" s="79"/>
      <c r="D4" s="80">
        <f>VLOOKUP($D$2,福祉!$B$2:$AG$1010,3,FALSE)</f>
        <v>44622</v>
      </c>
      <c r="E4" s="81"/>
      <c r="F4" s="81"/>
      <c r="G4" s="81"/>
      <c r="H4" s="81"/>
      <c r="I4" s="81"/>
      <c r="J4" s="81"/>
      <c r="K4" s="82"/>
    </row>
    <row r="5" spans="1:25" ht="30" customHeight="1" x14ac:dyDescent="0.2">
      <c r="A5" s="78" t="s">
        <v>219</v>
      </c>
      <c r="B5" s="79"/>
      <c r="C5" s="79"/>
      <c r="D5" s="80">
        <f>VLOOKUP($D$2,福祉!$B$2:$AG$1010,4,FALSE)</f>
        <v>45716</v>
      </c>
      <c r="E5" s="81"/>
      <c r="F5" s="81"/>
      <c r="G5" s="81"/>
      <c r="H5" s="81"/>
      <c r="I5" s="81"/>
      <c r="J5" s="81"/>
      <c r="K5" s="82"/>
    </row>
    <row r="6" spans="1:25" ht="30" customHeight="1" x14ac:dyDescent="0.2">
      <c r="A6" s="78" t="s">
        <v>220</v>
      </c>
      <c r="B6" s="79"/>
      <c r="C6" s="79"/>
      <c r="D6" s="80" t="str">
        <f>VLOOKUP($D$2,福祉!$B$2:$AG$1010,5,FALSE)</f>
        <v>社会福祉法人　青雲の森</v>
      </c>
      <c r="E6" s="81"/>
      <c r="F6" s="81"/>
      <c r="G6" s="81"/>
      <c r="H6" s="81"/>
      <c r="I6" s="81"/>
      <c r="J6" s="81"/>
      <c r="K6" s="82"/>
    </row>
    <row r="7" spans="1:25" ht="30" customHeight="1" x14ac:dyDescent="0.2">
      <c r="A7" s="78" t="s">
        <v>221</v>
      </c>
      <c r="B7" s="79"/>
      <c r="C7" s="79"/>
      <c r="D7" s="80" t="str">
        <f>VLOOKUP($D$2,福祉!$B$2:$AG$1010,6,FALSE)</f>
        <v>益　幸代</v>
      </c>
      <c r="E7" s="81"/>
      <c r="F7" s="81"/>
      <c r="G7" s="81"/>
      <c r="H7" s="81"/>
      <c r="I7" s="81"/>
      <c r="J7" s="81"/>
      <c r="K7" s="82"/>
    </row>
    <row r="8" spans="1:25" ht="30" customHeight="1" x14ac:dyDescent="0.2">
      <c r="A8" s="78" t="s">
        <v>222</v>
      </c>
      <c r="B8" s="79"/>
      <c r="C8" s="79"/>
      <c r="D8" s="80" t="str">
        <f>VLOOKUP($D$2,福祉!$B$2:$AG$1010,8,FALSE)</f>
        <v>茅部郡森町字駒ヶ岳３５２番地</v>
      </c>
      <c r="E8" s="81"/>
      <c r="F8" s="81"/>
      <c r="G8" s="81"/>
      <c r="H8" s="81"/>
      <c r="I8" s="81"/>
      <c r="J8" s="81"/>
      <c r="K8" s="82"/>
    </row>
    <row r="9" spans="1:25" ht="30" customHeight="1" x14ac:dyDescent="0.2">
      <c r="A9" s="83" t="s">
        <v>223</v>
      </c>
      <c r="B9" s="84"/>
      <c r="C9" s="85"/>
      <c r="D9" s="86" t="s">
        <v>224</v>
      </c>
      <c r="E9" s="81"/>
      <c r="F9" s="81"/>
      <c r="G9" s="81"/>
      <c r="H9" s="81"/>
      <c r="I9" s="81"/>
      <c r="J9" s="81"/>
      <c r="K9" s="82"/>
    </row>
    <row r="10" spans="1:25" ht="30" customHeight="1" x14ac:dyDescent="0.2">
      <c r="A10" s="87"/>
      <c r="B10" s="88"/>
      <c r="C10" s="89"/>
      <c r="D10" s="86" t="s">
        <v>225</v>
      </c>
      <c r="E10" s="81"/>
      <c r="F10" s="81"/>
      <c r="G10" s="81"/>
      <c r="H10" s="81"/>
      <c r="I10" s="81"/>
      <c r="J10" s="81"/>
      <c r="K10" s="82"/>
    </row>
    <row r="11" spans="1:25" ht="30" customHeight="1" x14ac:dyDescent="0.2">
      <c r="A11" s="90" t="s">
        <v>226</v>
      </c>
      <c r="B11" s="91"/>
      <c r="C11" s="92"/>
      <c r="D11" s="93" t="s">
        <v>227</v>
      </c>
      <c r="E11" s="93"/>
      <c r="F11" s="93" t="s">
        <v>228</v>
      </c>
      <c r="G11" s="93"/>
      <c r="H11" s="93" t="s">
        <v>227</v>
      </c>
      <c r="I11" s="93"/>
      <c r="J11" s="93" t="s">
        <v>228</v>
      </c>
      <c r="K11" s="94"/>
    </row>
    <row r="12" spans="1:25" ht="50.1" customHeight="1" x14ac:dyDescent="0.2">
      <c r="A12" s="95"/>
      <c r="B12" s="96"/>
      <c r="C12" s="97"/>
      <c r="D12" s="98" t="str">
        <f>IFERROR(VLOOKUP($D$2,福祉!$B$2:$AG$1010,9,FALSE),0)</f>
        <v>社会福祉法人青雲の森　訪問介護事業所</v>
      </c>
      <c r="E12" s="98"/>
      <c r="F12" s="98" t="str">
        <f>IFERROR(VLOOKUP($D$2,福祉!$B$2:$AG$1010,10,FALSE),0)</f>
        <v>茅部郡森町字駒ヶ岳３５２番地</v>
      </c>
      <c r="G12" s="98"/>
      <c r="H12" s="98">
        <f>IFERROR(VLOOKUP($D$2&amp;"-3",福祉!$B$2:$AG$1010,9,FALSE),0)</f>
        <v>0</v>
      </c>
      <c r="I12" s="98"/>
      <c r="J12" s="98">
        <f>IFERROR(VLOOKUP($D$2&amp;"-3",福祉!$B$2:$AG$1010,10,FALSE),0)</f>
        <v>0</v>
      </c>
      <c r="K12" s="99"/>
    </row>
    <row r="13" spans="1:25" ht="50.1" customHeight="1" x14ac:dyDescent="0.2">
      <c r="A13" s="100"/>
      <c r="B13" s="101"/>
      <c r="C13" s="102"/>
      <c r="D13" s="98">
        <f>IFERROR(VLOOKUP($D$2&amp;"-2",福祉!$B$2:$AG$1010,9,FALSE),0)</f>
        <v>0</v>
      </c>
      <c r="E13" s="98"/>
      <c r="F13" s="98">
        <f>IFERROR(VLOOKUP($D$2&amp;"-2",福祉!$B$2:$AG$1010,10,FALSE),0)</f>
        <v>0</v>
      </c>
      <c r="G13" s="98"/>
      <c r="H13" s="98">
        <f>IFERROR(VLOOKUP($D$2&amp;"-4",福祉!$B$2:$AG$1010,9,FALSE),0)</f>
        <v>0</v>
      </c>
      <c r="I13" s="98"/>
      <c r="J13" s="98">
        <f>IFERROR(VLOOKUP($D$2&amp;"-4",福祉!$B$2:$AG$1010,10,FALSE),0)</f>
        <v>0</v>
      </c>
      <c r="K13" s="99"/>
      <c r="O13" s="67"/>
      <c r="X13" s="67"/>
    </row>
    <row r="14" spans="1:25" ht="30" customHeight="1" x14ac:dyDescent="0.2">
      <c r="A14" s="90" t="s">
        <v>229</v>
      </c>
      <c r="B14" s="91"/>
      <c r="C14" s="91"/>
      <c r="D14" s="93" t="str">
        <f>VLOOKUP($D$2,福祉!$B$2:$AG$1010,15,FALSE)</f>
        <v>茅部郡森町</v>
      </c>
      <c r="E14" s="93"/>
      <c r="F14" s="93"/>
      <c r="G14" s="93"/>
      <c r="H14" s="93"/>
      <c r="I14" s="93"/>
      <c r="J14" s="93"/>
      <c r="K14" s="94"/>
      <c r="O14" s="67"/>
      <c r="X14" s="67"/>
      <c r="Y14" s="56"/>
    </row>
    <row r="15" spans="1:25" ht="30" customHeight="1" x14ac:dyDescent="0.2">
      <c r="A15" s="90" t="s">
        <v>230</v>
      </c>
      <c r="B15" s="91"/>
      <c r="C15" s="91"/>
      <c r="D15" s="103" t="str">
        <f>VLOOKUP($D$2,福祉!$B$2:$AG$1010,16,FALSE)</f>
        <v>イロ　二ホ　</v>
      </c>
      <c r="E15" s="103"/>
      <c r="F15" s="103"/>
      <c r="G15" s="103"/>
      <c r="H15" s="93"/>
      <c r="I15" s="93"/>
      <c r="J15" s="93"/>
      <c r="K15" s="94"/>
      <c r="O15" s="67"/>
      <c r="X15" s="67"/>
    </row>
    <row r="16" spans="1:25" ht="30" customHeight="1" x14ac:dyDescent="0.2">
      <c r="A16" s="104" t="s">
        <v>231</v>
      </c>
      <c r="B16" s="105"/>
      <c r="C16" s="105"/>
      <c r="D16" s="93" t="s">
        <v>232</v>
      </c>
      <c r="E16" s="93"/>
      <c r="F16" s="93" t="s">
        <v>233</v>
      </c>
      <c r="G16" s="93"/>
      <c r="H16" s="93" t="s">
        <v>232</v>
      </c>
      <c r="I16" s="93"/>
      <c r="J16" s="93" t="s">
        <v>233</v>
      </c>
      <c r="K16" s="94"/>
      <c r="O16" s="67"/>
      <c r="P16" s="56"/>
      <c r="X16" s="67"/>
    </row>
    <row r="17" spans="1:24" ht="30" customHeight="1" x14ac:dyDescent="0.2">
      <c r="A17" s="104"/>
      <c r="B17" s="105"/>
      <c r="C17" s="105"/>
      <c r="D17" s="106"/>
      <c r="E17" s="107"/>
      <c r="F17" s="106"/>
      <c r="G17" s="107"/>
      <c r="H17" s="106"/>
      <c r="I17" s="107"/>
      <c r="J17" s="106"/>
      <c r="K17" s="108"/>
      <c r="O17" s="67"/>
      <c r="X17" s="67"/>
    </row>
    <row r="18" spans="1:24" ht="50.1" customHeight="1" x14ac:dyDescent="0.2">
      <c r="A18" s="78" t="s">
        <v>234</v>
      </c>
      <c r="B18" s="79"/>
      <c r="C18" s="79"/>
      <c r="D18" s="93"/>
      <c r="E18" s="93"/>
      <c r="F18" s="93"/>
      <c r="G18" s="93"/>
      <c r="H18" s="93"/>
      <c r="I18" s="93"/>
      <c r="J18" s="93"/>
      <c r="K18" s="94"/>
      <c r="O18" s="67"/>
      <c r="X18" s="67"/>
    </row>
    <row r="19" spans="1:24" ht="19.8" x14ac:dyDescent="0.2">
      <c r="A19" s="83" t="s">
        <v>223</v>
      </c>
      <c r="B19" s="85"/>
      <c r="C19" s="109" t="s">
        <v>235</v>
      </c>
      <c r="D19" s="85"/>
      <c r="E19" s="93" t="s">
        <v>236</v>
      </c>
      <c r="F19" s="110"/>
      <c r="G19" s="110"/>
      <c r="H19" s="110"/>
      <c r="I19" s="110"/>
      <c r="J19" s="110"/>
      <c r="K19" s="111"/>
      <c r="O19" s="67"/>
      <c r="X19" s="67"/>
    </row>
    <row r="20" spans="1:24" ht="19.8" x14ac:dyDescent="0.2">
      <c r="A20" s="87"/>
      <c r="B20" s="89"/>
      <c r="C20" s="112"/>
      <c r="D20" s="89"/>
      <c r="E20" s="113" t="s">
        <v>237</v>
      </c>
      <c r="F20" s="113" t="s">
        <v>238</v>
      </c>
      <c r="G20" s="113" t="s">
        <v>239</v>
      </c>
      <c r="H20" s="114" t="s">
        <v>240</v>
      </c>
      <c r="I20" s="113" t="s">
        <v>241</v>
      </c>
      <c r="J20" s="113" t="s">
        <v>242</v>
      </c>
      <c r="K20" s="115" t="s">
        <v>243</v>
      </c>
    </row>
    <row r="21" spans="1:24" ht="14.25" customHeight="1" x14ac:dyDescent="0.2">
      <c r="A21" s="116"/>
      <c r="B21" s="117"/>
      <c r="C21" s="118"/>
      <c r="D21" s="117"/>
      <c r="E21" s="119" t="s">
        <v>244</v>
      </c>
      <c r="F21" s="119" t="s">
        <v>244</v>
      </c>
      <c r="G21" s="119" t="s">
        <v>244</v>
      </c>
      <c r="H21" s="119" t="s">
        <v>244</v>
      </c>
      <c r="I21" s="119" t="s">
        <v>244</v>
      </c>
      <c r="J21" s="119"/>
      <c r="K21" s="120" t="s">
        <v>244</v>
      </c>
    </row>
    <row r="22" spans="1:24" ht="19.8" x14ac:dyDescent="0.2">
      <c r="A22" s="121" t="s">
        <v>245</v>
      </c>
      <c r="B22" s="122"/>
      <c r="C22" s="123" t="str">
        <f>D12</f>
        <v>社会福祉法人青雲の森　訪問介護事業所</v>
      </c>
      <c r="D22" s="124"/>
      <c r="E22" s="125"/>
      <c r="F22" s="125"/>
      <c r="G22" s="125"/>
      <c r="H22" s="125"/>
      <c r="I22" s="125"/>
      <c r="J22" s="125"/>
      <c r="K22" s="126"/>
    </row>
    <row r="23" spans="1:24" ht="19.8" x14ac:dyDescent="0.2">
      <c r="A23" s="127"/>
      <c r="B23" s="128"/>
      <c r="C23" s="129"/>
      <c r="D23" s="130"/>
      <c r="E23" s="131">
        <f>IFERROR(VLOOKUP($D$2,福祉!$B$2:$AG$1010,19,FALSE),0)</f>
        <v>0</v>
      </c>
      <c r="F23" s="132">
        <f>IFERROR(VLOOKUP($D$2,福祉!$B$2:$AG$1010,21,FALSE),0)</f>
        <v>0</v>
      </c>
      <c r="G23" s="131">
        <f>IFERROR(VLOOKUP($D$2,福祉!$B$2:$AG$1010,23,FALSE),0)</f>
        <v>1</v>
      </c>
      <c r="H23" s="132">
        <f>IFERROR(VLOOKUP($D$2,福祉!$B$2:$AG$1010,25,FALSE),0)</f>
        <v>0</v>
      </c>
      <c r="I23" s="131">
        <f>IFERROR(VLOOKUP($D$2,福祉!$B$2:$AG$1010,27,FALSE),0)</f>
        <v>3</v>
      </c>
      <c r="J23" s="131">
        <f>IFERROR(VLOOKUP($D$2,福祉!$B$2:$AG$1010,29,FALSE),0)</f>
        <v>0</v>
      </c>
      <c r="K23" s="133">
        <f>SUM(E23:J23)</f>
        <v>4</v>
      </c>
    </row>
    <row r="24" spans="1:24" ht="19.8" x14ac:dyDescent="0.2">
      <c r="A24" s="127"/>
      <c r="B24" s="128"/>
      <c r="C24" s="134"/>
      <c r="D24" s="135"/>
      <c r="E24" s="136">
        <f>IFERROR(VLOOKUP($D$2,福祉!$B$2:$AG$1010,20,FALSE),0)</f>
        <v>0</v>
      </c>
      <c r="F24" s="136">
        <f>IFERROR(VLOOKUP($D$2,福祉!$B$2:$AG$1010,22,FALSE),0)</f>
        <v>0</v>
      </c>
      <c r="G24" s="136">
        <f>IFERROR(VLOOKUP($D$2,福祉!$B$2:$AG$1010,24,FALSE),0)</f>
        <v>0</v>
      </c>
      <c r="H24" s="136">
        <f>IFERROR(VLOOKUP($D$2,福祉!$B$2:$AG$1010,26,FALSE),0)</f>
        <v>0</v>
      </c>
      <c r="I24" s="137">
        <f>IFERROR(VLOOKUP($D$2,福祉!$B$2:$AG$3010,28,FALSE),0)</f>
        <v>2</v>
      </c>
      <c r="J24" s="138"/>
      <c r="K24" s="139">
        <f>SUM(E24:I24)</f>
        <v>2</v>
      </c>
    </row>
    <row r="25" spans="1:24" ht="19.8" x14ac:dyDescent="0.2">
      <c r="A25" s="127"/>
      <c r="B25" s="128"/>
      <c r="C25" s="123">
        <f>D13</f>
        <v>0</v>
      </c>
      <c r="D25" s="124"/>
      <c r="E25" s="125"/>
      <c r="F25" s="125"/>
      <c r="G25" s="125"/>
      <c r="H25" s="125"/>
      <c r="I25" s="125"/>
      <c r="J25" s="125"/>
      <c r="K25" s="126"/>
    </row>
    <row r="26" spans="1:24" ht="19.8" x14ac:dyDescent="0.2">
      <c r="A26" s="127"/>
      <c r="B26" s="128"/>
      <c r="C26" s="129"/>
      <c r="D26" s="130"/>
      <c r="E26" s="131">
        <f>IFERROR(VLOOKUP($D$2&amp;"-2",福祉!$B$2:$AG$1010,19,FALSE),0)</f>
        <v>0</v>
      </c>
      <c r="F26" s="132">
        <f>IFERROR(VLOOKUP($D$2&amp;"-2",福祉!$B$2:$AG$1010,21,FALSE),0)</f>
        <v>0</v>
      </c>
      <c r="G26" s="131">
        <f>IFERROR(VLOOKUP($D$2&amp;"-2",福祉!$B$2:$AG$1010,23,FALSE),0)</f>
        <v>0</v>
      </c>
      <c r="H26" s="132">
        <f>IFERROR(VLOOKUP($D$2&amp;"-2",福祉!$B$2:$AG$1010,25,FALSE),0)</f>
        <v>0</v>
      </c>
      <c r="I26" s="131">
        <f>IFERROR(VLOOKUP($D$2&amp;"-2",福祉!$B$2:$AG$1010,27,FALSE),0)</f>
        <v>0</v>
      </c>
      <c r="J26" s="131">
        <f>IFERROR(VLOOKUP($D$2&amp;"-2",福祉!$B$2:$AG$1010,29,FALSE),0)</f>
        <v>0</v>
      </c>
      <c r="K26" s="133">
        <f>SUM(E26:J26)</f>
        <v>0</v>
      </c>
    </row>
    <row r="27" spans="1:24" ht="19.8" x14ac:dyDescent="0.2">
      <c r="A27" s="140"/>
      <c r="B27" s="141"/>
      <c r="C27" s="134"/>
      <c r="D27" s="135"/>
      <c r="E27" s="136">
        <f>IFERROR(VLOOKUP($D$2&amp;"-2",福祉!$B$2:$AG$1010,20,FALSE),0)</f>
        <v>0</v>
      </c>
      <c r="F27" s="136">
        <f>IFERROR(VLOOKUP($D$2&amp;"-2",福祉!$B$2:$AG$1010,22,FALSE),0)</f>
        <v>0</v>
      </c>
      <c r="G27" s="136">
        <f>IFERROR(VLOOKUP($D$2&amp;"-2",福祉!$B$2:$AG$1010,24,FALSE),0)</f>
        <v>0</v>
      </c>
      <c r="H27" s="136">
        <f>IFERROR(VLOOKUP($D$2&amp;"-2",福祉!$B$2:$AG$1010,26,FALSE),0)</f>
        <v>0</v>
      </c>
      <c r="I27" s="137">
        <f>IFERROR(VLOOKUP($D$2&amp;"-2",福祉!$B$2:$AG$3010,28,FALSE),0)</f>
        <v>0</v>
      </c>
      <c r="J27" s="138"/>
      <c r="K27" s="139">
        <f>SUM(E27:I27)</f>
        <v>0</v>
      </c>
    </row>
    <row r="28" spans="1:24" ht="19.8" x14ac:dyDescent="0.2">
      <c r="A28" s="142"/>
      <c r="B28" s="107"/>
      <c r="C28" s="123">
        <f>H12</f>
        <v>0</v>
      </c>
      <c r="D28" s="124"/>
      <c r="E28" s="125"/>
      <c r="F28" s="125"/>
      <c r="G28" s="125"/>
      <c r="H28" s="125"/>
      <c r="I28" s="125"/>
      <c r="J28" s="125"/>
      <c r="K28" s="126"/>
    </row>
    <row r="29" spans="1:24" ht="19.8" x14ac:dyDescent="0.2">
      <c r="A29" s="143"/>
      <c r="B29" s="144"/>
      <c r="C29" s="129"/>
      <c r="D29" s="130"/>
      <c r="E29" s="131">
        <f>IFERROR(VLOOKUP($D$2&amp;"-3",福祉!$B$2:$AG$1010,19,FALSE),0)</f>
        <v>0</v>
      </c>
      <c r="F29" s="132">
        <f>IFERROR(VLOOKUP($D$2&amp;"-3",福祉!$B$2:$AG$1010,21,FALSE),0)</f>
        <v>0</v>
      </c>
      <c r="G29" s="131">
        <f>IFERROR(VLOOKUP($D$2&amp;"-3",福祉!$B$2:$AG$1010,23,FALSE),0)</f>
        <v>0</v>
      </c>
      <c r="H29" s="132">
        <f>IFERROR(VLOOKUP($D$2&amp;"-3",福祉!$B$2:$AG$1010,25,FALSE),0)</f>
        <v>0</v>
      </c>
      <c r="I29" s="131">
        <f>IFERROR(VLOOKUP($D$2&amp;"-3",福祉!$B$2:$AG$1010,27,FALSE),0)</f>
        <v>0</v>
      </c>
      <c r="J29" s="131">
        <f>IFERROR(VLOOKUP($D$2&amp;"-3",福祉!$B$2:$AG$1010,29,FALSE),0)</f>
        <v>0</v>
      </c>
      <c r="K29" s="133">
        <f>SUM(E29:J29)</f>
        <v>0</v>
      </c>
    </row>
    <row r="30" spans="1:24" ht="19.8" x14ac:dyDescent="0.2">
      <c r="A30" s="143"/>
      <c r="B30" s="144"/>
      <c r="C30" s="134"/>
      <c r="D30" s="135"/>
      <c r="E30" s="136">
        <f>IFERROR(VLOOKUP($D$2&amp;"-3",福祉!$B$2:$AG$1010,20,FALSE),0)</f>
        <v>0</v>
      </c>
      <c r="F30" s="136">
        <f>IFERROR(VLOOKUP($D$2&amp;"-3",福祉!$B$2:$AG$1010,22,FALSE),0)</f>
        <v>0</v>
      </c>
      <c r="G30" s="136">
        <f>IFERROR(VLOOKUP($D$2&amp;"-3",福祉!$B$2:$AG$1010,24,FALSE),0)</f>
        <v>0</v>
      </c>
      <c r="H30" s="136">
        <f>IFERROR(VLOOKUP($D$2&amp;"-3",福祉!$B$2:$AG$1010,26,FALSE),0)</f>
        <v>0</v>
      </c>
      <c r="I30" s="137">
        <f>IFERROR(VLOOKUP($D$2&amp;"-3",福祉!$B$2:$AG$3010,28,FALSE),0)</f>
        <v>0</v>
      </c>
      <c r="J30" s="138"/>
      <c r="K30" s="139">
        <f>SUM(E30:I30)</f>
        <v>0</v>
      </c>
    </row>
    <row r="31" spans="1:24" ht="19.8" x14ac:dyDescent="0.2">
      <c r="A31" s="143"/>
      <c r="B31" s="144"/>
      <c r="C31" s="123">
        <f>H13</f>
        <v>0</v>
      </c>
      <c r="D31" s="124"/>
      <c r="E31" s="125"/>
      <c r="F31" s="125"/>
      <c r="G31" s="125"/>
      <c r="H31" s="125"/>
      <c r="I31" s="125"/>
      <c r="J31" s="125"/>
      <c r="K31" s="126"/>
    </row>
    <row r="32" spans="1:24" ht="19.8" x14ac:dyDescent="0.2">
      <c r="A32" s="143"/>
      <c r="B32" s="144"/>
      <c r="C32" s="129"/>
      <c r="D32" s="130"/>
      <c r="E32" s="131">
        <f>IFERROR(VLOOKUP($D$2&amp;"-4",福祉!$B$2:$AG$1010,19,FALSE),0)</f>
        <v>0</v>
      </c>
      <c r="F32" s="132">
        <f>IFERROR(VLOOKUP($D$2&amp;"-4",福祉!$B$2:$AG$1010,21,FALSE),0)</f>
        <v>0</v>
      </c>
      <c r="G32" s="131">
        <f>IFERROR(VLOOKUP($D$2&amp;"-4",福祉!$B$2:$AG$1010,23,FALSE),0)</f>
        <v>0</v>
      </c>
      <c r="H32" s="132">
        <f>IFERROR(VLOOKUP($D$2&amp;"-4",福祉!$B$2:$AG$1010,25,FALSE),0)</f>
        <v>0</v>
      </c>
      <c r="I32" s="131">
        <f>IFERROR(VLOOKUP($D$2&amp;"-4",福祉!$B$2:$AG$1010,27,FALSE),0)</f>
        <v>0</v>
      </c>
      <c r="J32" s="131">
        <f>IFERROR(VLOOKUP($D$2&amp;"-4",福祉!$B$2:$AG$1010,29,FALSE),0)</f>
        <v>0</v>
      </c>
      <c r="K32" s="133">
        <f>SUM(E32:J32)</f>
        <v>0</v>
      </c>
    </row>
    <row r="33" spans="1:11" ht="19.8" x14ac:dyDescent="0.2">
      <c r="A33" s="145"/>
      <c r="B33" s="146"/>
      <c r="C33" s="134"/>
      <c r="D33" s="135"/>
      <c r="E33" s="136">
        <f>IFERROR(VLOOKUP($D$2&amp;"-4",福祉!$B$2:$AG$1010,20,FALSE),0)</f>
        <v>0</v>
      </c>
      <c r="F33" s="136">
        <f>IFERROR(VLOOKUP($D$2&amp;"-4",福祉!$B$2:$AG$1010,22,FALSE),0)</f>
        <v>0</v>
      </c>
      <c r="G33" s="136">
        <f>IFERROR(VLOOKUP($D$2&amp;"-4",福祉!$B$2:$AG$1010,24,FALSE),0)</f>
        <v>0</v>
      </c>
      <c r="H33" s="136">
        <f>IFERROR(VLOOKUP($D$2&amp;"-4",福祉!$B$2:$AG$1010,26,FALSE),0)</f>
        <v>0</v>
      </c>
      <c r="I33" s="137">
        <f>IFERROR(VLOOKUP($D$2&amp;"-4",福祉!$B$2:$AG$3010,28,FALSE),0)</f>
        <v>0</v>
      </c>
      <c r="J33" s="138"/>
      <c r="K33" s="139">
        <f>SUM(E33:I33)</f>
        <v>0</v>
      </c>
    </row>
    <row r="34" spans="1:11" ht="19.8" x14ac:dyDescent="0.2">
      <c r="A34" s="147"/>
      <c r="B34" s="148"/>
      <c r="C34" s="149" t="s">
        <v>246</v>
      </c>
      <c r="D34" s="150"/>
      <c r="E34" s="125"/>
      <c r="F34" s="125"/>
      <c r="G34" s="125"/>
      <c r="H34" s="125"/>
      <c r="I34" s="125"/>
      <c r="J34" s="125"/>
      <c r="K34" s="126"/>
    </row>
    <row r="35" spans="1:11" ht="19.8" x14ac:dyDescent="0.2">
      <c r="A35" s="151"/>
      <c r="B35" s="152"/>
      <c r="C35" s="153"/>
      <c r="D35" s="154"/>
      <c r="E35" s="131">
        <f t="shared" ref="E35:J35" si="0">SUM(E23+E26+E29+E32)</f>
        <v>0</v>
      </c>
      <c r="F35" s="132">
        <f t="shared" si="0"/>
        <v>0</v>
      </c>
      <c r="G35" s="131">
        <f t="shared" si="0"/>
        <v>1</v>
      </c>
      <c r="H35" s="132">
        <f t="shared" si="0"/>
        <v>0</v>
      </c>
      <c r="I35" s="131">
        <f t="shared" si="0"/>
        <v>3</v>
      </c>
      <c r="J35" s="131">
        <f t="shared" si="0"/>
        <v>0</v>
      </c>
      <c r="K35" s="133">
        <f>SUM(E35:J35)</f>
        <v>4</v>
      </c>
    </row>
    <row r="36" spans="1:11" ht="20.399999999999999" thickBot="1" x14ac:dyDescent="0.25">
      <c r="A36" s="155"/>
      <c r="B36" s="156"/>
      <c r="C36" s="157"/>
      <c r="D36" s="158"/>
      <c r="E36" s="159">
        <f>SUM(E24+E27+E30+E33)</f>
        <v>0</v>
      </c>
      <c r="F36" s="159">
        <f>SUM(F24+F27+F30+F33)</f>
        <v>0</v>
      </c>
      <c r="G36" s="159">
        <f>SUM(G24+G27+G30+G33)</f>
        <v>0</v>
      </c>
      <c r="H36" s="159">
        <f>SUM(H24+H27+H30+H33)</f>
        <v>0</v>
      </c>
      <c r="I36" s="160">
        <f>SUM(I24+I27+I30+I33)</f>
        <v>2</v>
      </c>
      <c r="J36" s="161"/>
      <c r="K36" s="162">
        <f>SUM(E36:I36)</f>
        <v>2</v>
      </c>
    </row>
    <row r="37" spans="1:11" ht="19.8" x14ac:dyDescent="0.2">
      <c r="A37" s="163"/>
      <c r="B37" s="163"/>
      <c r="C37" s="163"/>
      <c r="D37" s="163"/>
      <c r="E37" s="163"/>
      <c r="F37" s="163"/>
      <c r="G37" s="163"/>
      <c r="H37" s="163"/>
      <c r="I37" s="163"/>
      <c r="J37" s="163"/>
    </row>
    <row r="38" spans="1:11" ht="19.8" x14ac:dyDescent="0.2">
      <c r="A38" s="163"/>
      <c r="B38" s="163"/>
      <c r="C38" s="163"/>
      <c r="D38" s="163"/>
      <c r="E38" s="163"/>
      <c r="F38" s="163"/>
      <c r="G38" s="163"/>
      <c r="H38" s="163"/>
      <c r="I38" s="163"/>
      <c r="J38" s="163"/>
    </row>
  </sheetData>
  <sheetProtection algorithmName="SHA-512" hashValue="xaDeR3VYBdGZHFgPBY17wuI5PzkDx1yGavClr7s3axpJYuT1s5pHJjo3JifYxTECNiHFX6jWOZm4k5eoCtDVQA==" saltValue="BHO1yjXNDr/ngTPzPNW6g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E289E8A6-2FED-4A9A-B550-53371F070161}">
      <formula1>"○"</formula1>
    </dataValidation>
    <dataValidation type="list" allowBlank="1" showInputMessage="1" sqref="A22:B33" xr:uid="{34982583-AFF9-4129-84F9-FD2781526CFC}">
      <formula1>"交通空白地有償運送,福祉有償運送"</formula1>
    </dataValidation>
    <dataValidation allowBlank="1" showInputMessage="1" sqref="D2:K2" xr:uid="{675705B0-C72B-4672-9071-270DCB3D22F2}"/>
  </dataValidations>
  <hyperlinks>
    <hyperlink ref="O1:Q1" location="福祉!A1" display="福祉!A1" xr:uid="{C6B39C5E-6F04-4124-9616-8EF253ADE23D}"/>
  </hyperlinks>
  <pageMargins left="0.25" right="0.25" top="0.75" bottom="0.75" header="0.3" footer="0.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福祉</vt:lpstr>
      <vt:lpstr>旅客の範囲</vt:lpstr>
      <vt:lpstr>市福1</vt:lpstr>
      <vt:lpstr>市福2</vt:lpstr>
      <vt:lpstr>1</vt:lpstr>
      <vt:lpstr>2</vt:lpstr>
      <vt:lpstr>3</vt:lpstr>
      <vt:lpstr>4</vt:lpstr>
      <vt:lpstr>6</vt:lpstr>
      <vt:lpstr>7</vt:lpstr>
      <vt:lpstr>9</vt:lpstr>
      <vt:lpstr>10</vt:lpstr>
      <vt:lpstr>11</vt:lpstr>
      <vt:lpstr>15</vt:lpstr>
      <vt:lpstr>16</vt:lpstr>
      <vt:lpstr>17</vt:lpstr>
      <vt:lpstr>18</vt:lpstr>
      <vt:lpstr>20</vt:lpstr>
      <vt:lpstr>21</vt:lpstr>
      <vt:lpstr>22</vt:lpstr>
      <vt:lpstr>24</vt:lpstr>
      <vt:lpstr>25</vt:lpstr>
      <vt:lpstr>26</vt:lpstr>
      <vt:lpstr>27</vt:lpstr>
      <vt:lpstr>'1'!Print_Area</vt:lpstr>
      <vt:lpstr>'10'!Print_Area</vt:lpstr>
      <vt:lpstr>'11'!Print_Area</vt:lpstr>
      <vt:lpstr>'15'!Print_Area</vt:lpstr>
      <vt:lpstr>'16'!Print_Area</vt:lpstr>
      <vt:lpstr>'17'!Print_Area</vt:lpstr>
      <vt:lpstr>'18'!Print_Area</vt:lpstr>
      <vt:lpstr>'2'!Print_Area</vt:lpstr>
      <vt:lpstr>'20'!Print_Area</vt:lpstr>
      <vt:lpstr>'21'!Print_Area</vt:lpstr>
      <vt:lpstr>'22'!Print_Area</vt:lpstr>
      <vt:lpstr>'24'!Print_Area</vt:lpstr>
      <vt:lpstr>'25'!Print_Area</vt:lpstr>
      <vt:lpstr>'26'!Print_Area</vt:lpstr>
      <vt:lpstr>'27'!Print_Area</vt:lpstr>
      <vt:lpstr>'3'!Print_Area</vt:lpstr>
      <vt:lpstr>'4'!Print_Area</vt:lpstr>
      <vt:lpstr>'6'!Print_Area</vt:lpstr>
      <vt:lpstr>'7'!Print_Area</vt:lpstr>
      <vt:lpstr>'9'!Print_Area</vt:lpstr>
      <vt:lpstr>市福1!Print_Area</vt:lpstr>
      <vt:lpstr>市福2!Print_Area</vt:lpstr>
      <vt:lpstr>福祉!Print_Area</vt:lpstr>
      <vt:lpstr>旅客の範囲!Print_Area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高谷 優希</dc:creator>
  <cp:lastModifiedBy>高谷 優希</cp:lastModifiedBy>
  <dcterms:created xsi:type="dcterms:W3CDTF">2024-04-02T02:43:23Z</dcterms:created>
  <dcterms:modified xsi:type="dcterms:W3CDTF">2024-04-02T02:43:36Z</dcterms:modified>
</cp:coreProperties>
</file>