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14　室蘭運輸支局\12　輸送・監査担当\02_作業中フォルダ（保存期間１年未満）\05_自家用\01_(登録)旅客有償運送\2.登録簿\"/>
    </mc:Choice>
  </mc:AlternateContent>
  <xr:revisionPtr revIDLastSave="0" documentId="8_{418C9C90-BD2B-4398-ACEC-1577ADD0447E}" xr6:coauthVersionLast="47" xr6:coauthVersionMax="47" xr10:uidLastSave="{00000000-0000-0000-0000-000000000000}"/>
  <bookViews>
    <workbookView xWindow="28680" yWindow="-120" windowWidth="29040" windowHeight="15720" xr2:uid="{50D9CABA-5F76-4925-A124-75A9E570017F}"/>
  </bookViews>
  <sheets>
    <sheet name="福祉" sheetId="1" r:id="rId1"/>
    <sheet name="旅客の範囲" sheetId="2" r:id="rId2"/>
    <sheet name="市福1" sheetId="3" r:id="rId3"/>
    <sheet name="市福5" sheetId="4" r:id="rId4"/>
    <sheet name="市福7" sheetId="5" r:id="rId5"/>
    <sheet name="2" sheetId="6" r:id="rId6"/>
    <sheet name="3" sheetId="7" r:id="rId7"/>
    <sheet name="4" sheetId="8" r:id="rId8"/>
    <sheet name="5" sheetId="9" r:id="rId9"/>
    <sheet name="7" sheetId="10" r:id="rId10"/>
    <sheet name="8" sheetId="11" r:id="rId11"/>
    <sheet name="9" sheetId="12" r:id="rId12"/>
    <sheet name="10" sheetId="13" r:id="rId13"/>
    <sheet name="16" sheetId="14" r:id="rId14"/>
    <sheet name="18" sheetId="15" r:id="rId15"/>
    <sheet name="20" sheetId="16" r:id="rId16"/>
    <sheet name="25" sheetId="17" r:id="rId17"/>
    <sheet name="26" sheetId="18" r:id="rId18"/>
    <sheet name="31" sheetId="19" r:id="rId19"/>
    <sheet name="32" sheetId="20" r:id="rId20"/>
    <sheet name="34" sheetId="21" r:id="rId21"/>
    <sheet name="35" sheetId="22" r:id="rId22"/>
    <sheet name="37" sheetId="23" r:id="rId23"/>
    <sheet name="39" sheetId="24" r:id="rId24"/>
    <sheet name="40" sheetId="25" r:id="rId25"/>
    <sheet name="41" sheetId="26" r:id="rId26"/>
    <sheet name="45" sheetId="27" r:id="rId27"/>
    <sheet name="46" sheetId="28" r:id="rId28"/>
    <sheet name="47" sheetId="29" r:id="rId29"/>
    <sheet name="48" sheetId="30" r:id="rId30"/>
    <sheet name="49" sheetId="31" r:id="rId31"/>
    <sheet name="50" sheetId="32" r:id="rId32"/>
    <sheet name="51" sheetId="33" r:id="rId33"/>
    <sheet name="52" sheetId="34" r:id="rId34"/>
    <sheet name="53" sheetId="35" r:id="rId35"/>
    <sheet name="54" sheetId="36" r:id="rId36"/>
  </sheets>
  <definedNames>
    <definedName name="_xlnm._FilterDatabase" localSheetId="0" hidden="1">福祉!$A$1:$AI$37</definedName>
    <definedName name="_xlnm.Print_Area" localSheetId="12">'10'!$A$1:$K$36</definedName>
    <definedName name="_xlnm.Print_Area" localSheetId="13">'16'!$A$1:$K$36</definedName>
    <definedName name="_xlnm.Print_Area" localSheetId="14">'18'!$A$1:$K$36</definedName>
    <definedName name="_xlnm.Print_Area" localSheetId="5">'2'!$A$1:$K$36</definedName>
    <definedName name="_xlnm.Print_Area" localSheetId="15">'20'!$A$1:$K$36</definedName>
    <definedName name="_xlnm.Print_Area" localSheetId="16">'25'!$A$1:$K$36</definedName>
    <definedName name="_xlnm.Print_Area" localSheetId="17">'26'!$A$1:$K$36</definedName>
    <definedName name="_xlnm.Print_Area" localSheetId="6">'3'!$A$1:$K$36</definedName>
    <definedName name="_xlnm.Print_Area" localSheetId="18">'31'!$A$1:$K$36</definedName>
    <definedName name="_xlnm.Print_Area" localSheetId="19">'32'!$A$1:$K$36</definedName>
    <definedName name="_xlnm.Print_Area" localSheetId="20">'34'!$A$1:$K$36</definedName>
    <definedName name="_xlnm.Print_Area" localSheetId="21">'35'!$A$1:$K$36</definedName>
    <definedName name="_xlnm.Print_Area" localSheetId="22">'37'!$A$1:$K$36</definedName>
    <definedName name="_xlnm.Print_Area" localSheetId="23">'39'!$A$1:$K$36</definedName>
    <definedName name="_xlnm.Print_Area" localSheetId="7">'4'!$A$1:$K$36</definedName>
    <definedName name="_xlnm.Print_Area" localSheetId="24">'40'!$A$1:$K$36</definedName>
    <definedName name="_xlnm.Print_Area" localSheetId="25">'41'!$A$1:$K$36</definedName>
    <definedName name="_xlnm.Print_Area" localSheetId="26">'45'!$A$1:$K$36</definedName>
    <definedName name="_xlnm.Print_Area" localSheetId="27">'46'!$A$1:$K$36</definedName>
    <definedName name="_xlnm.Print_Area" localSheetId="28">'47'!$A$1:$K$36</definedName>
    <definedName name="_xlnm.Print_Area" localSheetId="29">'48'!$A$1:$K$36</definedName>
    <definedName name="_xlnm.Print_Area" localSheetId="30">'49'!$A$1:$K$36</definedName>
    <definedName name="_xlnm.Print_Area" localSheetId="8">'5'!$A$1:$K$36</definedName>
    <definedName name="_xlnm.Print_Area" localSheetId="31">'50'!$A$1:$K$36</definedName>
    <definedName name="_xlnm.Print_Area" localSheetId="32">'51'!$A$1:$K$36</definedName>
    <definedName name="_xlnm.Print_Area" localSheetId="33">'52'!$A$1:$K$36</definedName>
    <definedName name="_xlnm.Print_Area" localSheetId="34">'53'!$A$1:$K$36</definedName>
    <definedName name="_xlnm.Print_Area" localSheetId="35">'54'!$A$1:$K$36</definedName>
    <definedName name="_xlnm.Print_Area" localSheetId="9">'7'!$A$1:$K$36</definedName>
    <definedName name="_xlnm.Print_Area" localSheetId="10">'8'!$A$1:$K$36</definedName>
    <definedName name="_xlnm.Print_Area" localSheetId="11">'9'!$A$1:$K$36</definedName>
    <definedName name="_xlnm.Print_Area" localSheetId="2">市福1!$A$1:$K$36</definedName>
    <definedName name="_xlnm.Print_Area" localSheetId="3">市福5!$A$1:$K$36</definedName>
    <definedName name="_xlnm.Print_Area" localSheetId="4">市福7!$A$1:$K$36</definedName>
    <definedName name="_xlnm.Print_Area" localSheetId="0">福祉!$A$1:$AG$38</definedName>
    <definedName name="_xlnm.Print_Area" localSheetId="1">旅客の範囲!$A$1:$L$16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36" l="1"/>
  <c r="H33" i="36"/>
  <c r="G33" i="36"/>
  <c r="F33" i="36"/>
  <c r="E33" i="36"/>
  <c r="J32" i="36"/>
  <c r="I32" i="36"/>
  <c r="H32" i="36"/>
  <c r="G32" i="36"/>
  <c r="F32" i="36"/>
  <c r="E32" i="36"/>
  <c r="K30" i="36"/>
  <c r="I30" i="36"/>
  <c r="H30" i="36"/>
  <c r="G30" i="36"/>
  <c r="F30" i="36"/>
  <c r="E30" i="36"/>
  <c r="J29" i="36"/>
  <c r="I29" i="36"/>
  <c r="H29" i="36"/>
  <c r="G29" i="36"/>
  <c r="F29" i="36"/>
  <c r="E29" i="36"/>
  <c r="I27" i="36"/>
  <c r="H27" i="36"/>
  <c r="G27" i="36"/>
  <c r="F27" i="36"/>
  <c r="E27" i="36"/>
  <c r="J26" i="36"/>
  <c r="I26" i="36"/>
  <c r="H26" i="36"/>
  <c r="G26" i="36"/>
  <c r="F26" i="36"/>
  <c r="E26" i="36"/>
  <c r="C25" i="36"/>
  <c r="I24" i="36"/>
  <c r="I36" i="36" s="1"/>
  <c r="H24" i="36"/>
  <c r="H36" i="36" s="1"/>
  <c r="G24" i="36"/>
  <c r="G36" i="36" s="1"/>
  <c r="F24" i="36"/>
  <c r="F36" i="36" s="1"/>
  <c r="E24" i="36"/>
  <c r="E36" i="36" s="1"/>
  <c r="J23" i="36"/>
  <c r="J35" i="36" s="1"/>
  <c r="I23" i="36"/>
  <c r="I35" i="36" s="1"/>
  <c r="H23" i="36"/>
  <c r="H35" i="36" s="1"/>
  <c r="G23" i="36"/>
  <c r="G35" i="36" s="1"/>
  <c r="F23" i="36"/>
  <c r="E23" i="36"/>
  <c r="E35" i="36" s="1"/>
  <c r="D15" i="36"/>
  <c r="D14" i="36"/>
  <c r="J13" i="36"/>
  <c r="H13" i="36"/>
  <c r="C31" i="36" s="1"/>
  <c r="F13" i="36"/>
  <c r="D13" i="36"/>
  <c r="J12" i="36"/>
  <c r="H12" i="36"/>
  <c r="C28" i="36" s="1"/>
  <c r="F12" i="36"/>
  <c r="D12" i="36"/>
  <c r="C22" i="36" s="1"/>
  <c r="D8" i="36"/>
  <c r="D7" i="36"/>
  <c r="D6" i="36"/>
  <c r="D5" i="36"/>
  <c r="D4" i="36"/>
  <c r="D3" i="36"/>
  <c r="I33" i="35"/>
  <c r="H33" i="35"/>
  <c r="G33" i="35"/>
  <c r="F33" i="35"/>
  <c r="E33" i="35"/>
  <c r="J32" i="35"/>
  <c r="I32" i="35"/>
  <c r="H32" i="35"/>
  <c r="G32" i="35"/>
  <c r="F32" i="35"/>
  <c r="E32" i="35"/>
  <c r="I30" i="35"/>
  <c r="H30" i="35"/>
  <c r="G30" i="35"/>
  <c r="F30" i="35"/>
  <c r="E30" i="35"/>
  <c r="K30" i="35" s="1"/>
  <c r="J29" i="35"/>
  <c r="I29" i="35"/>
  <c r="H29" i="35"/>
  <c r="G29" i="35"/>
  <c r="F29" i="35"/>
  <c r="K29" i="35" s="1"/>
  <c r="E29" i="35"/>
  <c r="I27" i="35"/>
  <c r="H27" i="35"/>
  <c r="G27" i="35"/>
  <c r="F27" i="35"/>
  <c r="E27" i="35"/>
  <c r="J26" i="35"/>
  <c r="I26" i="35"/>
  <c r="H26" i="35"/>
  <c r="G26" i="35"/>
  <c r="F26" i="35"/>
  <c r="E26" i="35"/>
  <c r="K26" i="35" s="1"/>
  <c r="I24" i="35"/>
  <c r="H24" i="35"/>
  <c r="G24" i="35"/>
  <c r="G36" i="35" s="1"/>
  <c r="F24" i="35"/>
  <c r="E24" i="35"/>
  <c r="E36" i="35" s="1"/>
  <c r="J23" i="35"/>
  <c r="J35" i="35" s="1"/>
  <c r="I23" i="35"/>
  <c r="H23" i="35"/>
  <c r="H35" i="35" s="1"/>
  <c r="G23" i="35"/>
  <c r="G35" i="35" s="1"/>
  <c r="F23" i="35"/>
  <c r="F35" i="35" s="1"/>
  <c r="E23" i="35"/>
  <c r="E35" i="35" s="1"/>
  <c r="D15" i="35"/>
  <c r="D14" i="35"/>
  <c r="J13" i="35"/>
  <c r="H13" i="35"/>
  <c r="C31" i="35" s="1"/>
  <c r="F13" i="35"/>
  <c r="D13" i="35"/>
  <c r="C25" i="35" s="1"/>
  <c r="J12" i="35"/>
  <c r="H12" i="35"/>
  <c r="C28" i="35" s="1"/>
  <c r="F12" i="35"/>
  <c r="D12" i="35"/>
  <c r="C22" i="35" s="1"/>
  <c r="D8" i="35"/>
  <c r="D7" i="35"/>
  <c r="D6" i="35"/>
  <c r="D5" i="35"/>
  <c r="D4" i="35"/>
  <c r="D3" i="35"/>
  <c r="F35" i="34"/>
  <c r="K33" i="34"/>
  <c r="I33" i="34"/>
  <c r="H33" i="34"/>
  <c r="G33" i="34"/>
  <c r="F33" i="34"/>
  <c r="E33" i="34"/>
  <c r="J32" i="34"/>
  <c r="I32" i="34"/>
  <c r="H32" i="34"/>
  <c r="G32" i="34"/>
  <c r="F32" i="34"/>
  <c r="E32" i="34"/>
  <c r="K32" i="34" s="1"/>
  <c r="I30" i="34"/>
  <c r="H30" i="34"/>
  <c r="G30" i="34"/>
  <c r="F30" i="34"/>
  <c r="E30" i="34"/>
  <c r="J29" i="34"/>
  <c r="I29" i="34"/>
  <c r="H29" i="34"/>
  <c r="G29" i="34"/>
  <c r="F29" i="34"/>
  <c r="E29" i="34"/>
  <c r="I27" i="34"/>
  <c r="H27" i="34"/>
  <c r="G27" i="34"/>
  <c r="F27" i="34"/>
  <c r="E27" i="34"/>
  <c r="E36" i="34" s="1"/>
  <c r="J26" i="34"/>
  <c r="I26" i="34"/>
  <c r="H26" i="34"/>
  <c r="G26" i="34"/>
  <c r="F26" i="34"/>
  <c r="K26" i="34" s="1"/>
  <c r="E26" i="34"/>
  <c r="C25" i="34"/>
  <c r="I24" i="34"/>
  <c r="H24" i="34"/>
  <c r="G24" i="34"/>
  <c r="F24" i="34"/>
  <c r="F36" i="34" s="1"/>
  <c r="E24" i="34"/>
  <c r="J23" i="34"/>
  <c r="I23" i="34"/>
  <c r="I35" i="34" s="1"/>
  <c r="H23" i="34"/>
  <c r="G23" i="34"/>
  <c r="F23" i="34"/>
  <c r="E23" i="34"/>
  <c r="C22" i="34"/>
  <c r="D15" i="34"/>
  <c r="D14" i="34"/>
  <c r="J13" i="34"/>
  <c r="H13" i="34"/>
  <c r="C31" i="34" s="1"/>
  <c r="F13" i="34"/>
  <c r="D13" i="34"/>
  <c r="J12" i="34"/>
  <c r="H12" i="34"/>
  <c r="C28" i="34" s="1"/>
  <c r="F12" i="34"/>
  <c r="D12" i="34"/>
  <c r="D8" i="34"/>
  <c r="D7" i="34"/>
  <c r="D6" i="34"/>
  <c r="D5" i="34"/>
  <c r="D4" i="34"/>
  <c r="D3" i="34"/>
  <c r="I33" i="33"/>
  <c r="H33" i="33"/>
  <c r="G33" i="33"/>
  <c r="F33" i="33"/>
  <c r="E33" i="33"/>
  <c r="J32" i="33"/>
  <c r="I32" i="33"/>
  <c r="H32" i="33"/>
  <c r="K32" i="33" s="1"/>
  <c r="G32" i="33"/>
  <c r="F32" i="33"/>
  <c r="E32" i="33"/>
  <c r="I30" i="33"/>
  <c r="H30" i="33"/>
  <c r="G30" i="33"/>
  <c r="F30" i="33"/>
  <c r="E30" i="33"/>
  <c r="J29" i="33"/>
  <c r="I29" i="33"/>
  <c r="H29" i="33"/>
  <c r="G29" i="33"/>
  <c r="F29" i="33"/>
  <c r="E29" i="33"/>
  <c r="I27" i="33"/>
  <c r="H27" i="33"/>
  <c r="G27" i="33"/>
  <c r="F27" i="33"/>
  <c r="K27" i="33" s="1"/>
  <c r="E27" i="33"/>
  <c r="J26" i="33"/>
  <c r="I26" i="33"/>
  <c r="H26" i="33"/>
  <c r="G26" i="33"/>
  <c r="F26" i="33"/>
  <c r="E26" i="33"/>
  <c r="C25" i="33"/>
  <c r="I24" i="33"/>
  <c r="I36" i="33" s="1"/>
  <c r="H24" i="33"/>
  <c r="H36" i="33" s="1"/>
  <c r="G24" i="33"/>
  <c r="F24" i="33"/>
  <c r="F36" i="33" s="1"/>
  <c r="E24" i="33"/>
  <c r="E36" i="33" s="1"/>
  <c r="J23" i="33"/>
  <c r="I23" i="33"/>
  <c r="I35" i="33" s="1"/>
  <c r="H23" i="33"/>
  <c r="G23" i="33"/>
  <c r="F23" i="33"/>
  <c r="F35" i="33" s="1"/>
  <c r="E23" i="33"/>
  <c r="D15" i="33"/>
  <c r="D14" i="33"/>
  <c r="J13" i="33"/>
  <c r="H13" i="33"/>
  <c r="C31" i="33" s="1"/>
  <c r="F13" i="33"/>
  <c r="D13" i="33"/>
  <c r="J12" i="33"/>
  <c r="H12" i="33"/>
  <c r="C28" i="33" s="1"/>
  <c r="F12" i="33"/>
  <c r="D12" i="33"/>
  <c r="C22" i="33" s="1"/>
  <c r="D8" i="33"/>
  <c r="D7" i="33"/>
  <c r="D6" i="33"/>
  <c r="D5" i="33"/>
  <c r="D4" i="33"/>
  <c r="D3" i="33"/>
  <c r="I33" i="32"/>
  <c r="H33" i="32"/>
  <c r="G33" i="32"/>
  <c r="F33" i="32"/>
  <c r="E33" i="32"/>
  <c r="J32" i="32"/>
  <c r="I32" i="32"/>
  <c r="H32" i="32"/>
  <c r="G32" i="32"/>
  <c r="F32" i="32"/>
  <c r="E32" i="32"/>
  <c r="I30" i="32"/>
  <c r="H30" i="32"/>
  <c r="G30" i="32"/>
  <c r="F30" i="32"/>
  <c r="E30" i="32"/>
  <c r="K29" i="32"/>
  <c r="J29" i="32"/>
  <c r="I29" i="32"/>
  <c r="H29" i="32"/>
  <c r="G29" i="32"/>
  <c r="F29" i="32"/>
  <c r="E29" i="32"/>
  <c r="I27" i="32"/>
  <c r="H27" i="32"/>
  <c r="G27" i="32"/>
  <c r="F27" i="32"/>
  <c r="E27" i="32"/>
  <c r="J26" i="32"/>
  <c r="I26" i="32"/>
  <c r="H26" i="32"/>
  <c r="G26" i="32"/>
  <c r="F26" i="32"/>
  <c r="E26" i="32"/>
  <c r="I24" i="32"/>
  <c r="I36" i="32" s="1"/>
  <c r="H24" i="32"/>
  <c r="G24" i="32"/>
  <c r="F24" i="32"/>
  <c r="F36" i="32" s="1"/>
  <c r="E24" i="32"/>
  <c r="J23" i="32"/>
  <c r="J35" i="32" s="1"/>
  <c r="I23" i="32"/>
  <c r="I35" i="32" s="1"/>
  <c r="H23" i="32"/>
  <c r="G23" i="32"/>
  <c r="F23" i="32"/>
  <c r="E23" i="32"/>
  <c r="D15" i="32"/>
  <c r="D14" i="32"/>
  <c r="J13" i="32"/>
  <c r="H13" i="32"/>
  <c r="C31" i="32" s="1"/>
  <c r="F13" i="32"/>
  <c r="D13" i="32"/>
  <c r="C25" i="32" s="1"/>
  <c r="J12" i="32"/>
  <c r="H12" i="32"/>
  <c r="C28" i="32" s="1"/>
  <c r="F12" i="32"/>
  <c r="D12" i="32"/>
  <c r="C22" i="32" s="1"/>
  <c r="D8" i="32"/>
  <c r="D7" i="32"/>
  <c r="D6" i="32"/>
  <c r="D5" i="32"/>
  <c r="D4" i="32"/>
  <c r="D3" i="32"/>
  <c r="I33" i="31"/>
  <c r="H33" i="31"/>
  <c r="K33" i="31" s="1"/>
  <c r="G33" i="31"/>
  <c r="F33" i="31"/>
  <c r="E33" i="31"/>
  <c r="J32" i="31"/>
  <c r="I32" i="31"/>
  <c r="H32" i="31"/>
  <c r="G32" i="31"/>
  <c r="F32" i="31"/>
  <c r="E32" i="31"/>
  <c r="I30" i="31"/>
  <c r="H30" i="31"/>
  <c r="G30" i="31"/>
  <c r="F30" i="31"/>
  <c r="E30" i="31"/>
  <c r="K30" i="31" s="1"/>
  <c r="J29" i="31"/>
  <c r="I29" i="31"/>
  <c r="H29" i="31"/>
  <c r="G29" i="31"/>
  <c r="F29" i="31"/>
  <c r="E29" i="31"/>
  <c r="K29" i="31" s="1"/>
  <c r="I27" i="31"/>
  <c r="H27" i="31"/>
  <c r="G27" i="31"/>
  <c r="F27" i="31"/>
  <c r="E27" i="31"/>
  <c r="J26" i="31"/>
  <c r="I26" i="31"/>
  <c r="H26" i="31"/>
  <c r="G26" i="31"/>
  <c r="F26" i="31"/>
  <c r="E26" i="31"/>
  <c r="I24" i="31"/>
  <c r="H24" i="31"/>
  <c r="G24" i="31"/>
  <c r="G36" i="31" s="1"/>
  <c r="F24" i="31"/>
  <c r="E24" i="31"/>
  <c r="J23" i="31"/>
  <c r="I23" i="31"/>
  <c r="H23" i="31"/>
  <c r="H35" i="31" s="1"/>
  <c r="G23" i="31"/>
  <c r="F23" i="31"/>
  <c r="E23" i="31"/>
  <c r="D15" i="31"/>
  <c r="D14" i="31"/>
  <c r="J13" i="31"/>
  <c r="H13" i="31"/>
  <c r="C31" i="31" s="1"/>
  <c r="F13" i="31"/>
  <c r="D13" i="31"/>
  <c r="C25" i="31" s="1"/>
  <c r="J12" i="31"/>
  <c r="H12" i="31"/>
  <c r="C28" i="31" s="1"/>
  <c r="F12" i="31"/>
  <c r="D12" i="31"/>
  <c r="C22" i="31" s="1"/>
  <c r="D8" i="31"/>
  <c r="D7" i="31"/>
  <c r="D6" i="31"/>
  <c r="D5" i="31"/>
  <c r="D4" i="31"/>
  <c r="D3" i="31"/>
  <c r="I33" i="30"/>
  <c r="H33" i="30"/>
  <c r="G33" i="30"/>
  <c r="F33" i="30"/>
  <c r="E33" i="30"/>
  <c r="J32" i="30"/>
  <c r="I32" i="30"/>
  <c r="H32" i="30"/>
  <c r="G32" i="30"/>
  <c r="F32" i="30"/>
  <c r="E32" i="30"/>
  <c r="K32" i="30" s="1"/>
  <c r="I30" i="30"/>
  <c r="H30" i="30"/>
  <c r="G30" i="30"/>
  <c r="F30" i="30"/>
  <c r="E30" i="30"/>
  <c r="J29" i="30"/>
  <c r="I29" i="30"/>
  <c r="H29" i="30"/>
  <c r="G29" i="30"/>
  <c r="F29" i="30"/>
  <c r="E29" i="30"/>
  <c r="I27" i="30"/>
  <c r="H27" i="30"/>
  <c r="G27" i="30"/>
  <c r="F27" i="30"/>
  <c r="E27" i="30"/>
  <c r="J26" i="30"/>
  <c r="I26" i="30"/>
  <c r="H26" i="30"/>
  <c r="G26" i="30"/>
  <c r="F26" i="30"/>
  <c r="E26" i="30"/>
  <c r="I24" i="30"/>
  <c r="H24" i="30"/>
  <c r="H36" i="30" s="1"/>
  <c r="G24" i="30"/>
  <c r="F24" i="30"/>
  <c r="E24" i="30"/>
  <c r="E36" i="30" s="1"/>
  <c r="J23" i="30"/>
  <c r="I23" i="30"/>
  <c r="H23" i="30"/>
  <c r="G23" i="30"/>
  <c r="F23" i="30"/>
  <c r="E23" i="30"/>
  <c r="E35" i="30" s="1"/>
  <c r="D15" i="30"/>
  <c r="D14" i="30"/>
  <c r="J13" i="30"/>
  <c r="H13" i="30"/>
  <c r="C31" i="30" s="1"/>
  <c r="F13" i="30"/>
  <c r="D13" i="30"/>
  <c r="C25" i="30" s="1"/>
  <c r="J12" i="30"/>
  <c r="H12" i="30"/>
  <c r="C28" i="30" s="1"/>
  <c r="F12" i="30"/>
  <c r="D12" i="30"/>
  <c r="C22" i="30" s="1"/>
  <c r="D8" i="30"/>
  <c r="D7" i="30"/>
  <c r="D6" i="30"/>
  <c r="D5" i="30"/>
  <c r="D4" i="30"/>
  <c r="D3" i="30"/>
  <c r="I33" i="29"/>
  <c r="H33" i="29"/>
  <c r="G33" i="29"/>
  <c r="F33" i="29"/>
  <c r="E33" i="29"/>
  <c r="K33" i="29" s="1"/>
  <c r="J32" i="29"/>
  <c r="I32" i="29"/>
  <c r="H32" i="29"/>
  <c r="G32" i="29"/>
  <c r="F32" i="29"/>
  <c r="E32" i="29"/>
  <c r="I30" i="29"/>
  <c r="I36" i="29" s="1"/>
  <c r="H30" i="29"/>
  <c r="G30" i="29"/>
  <c r="F30" i="29"/>
  <c r="E30" i="29"/>
  <c r="J29" i="29"/>
  <c r="I29" i="29"/>
  <c r="H29" i="29"/>
  <c r="G29" i="29"/>
  <c r="F29" i="29"/>
  <c r="E29" i="29"/>
  <c r="I27" i="29"/>
  <c r="H27" i="29"/>
  <c r="G27" i="29"/>
  <c r="F27" i="29"/>
  <c r="E27" i="29"/>
  <c r="J26" i="29"/>
  <c r="I26" i="29"/>
  <c r="H26" i="29"/>
  <c r="G26" i="29"/>
  <c r="F26" i="29"/>
  <c r="E26" i="29"/>
  <c r="I24" i="29"/>
  <c r="H24" i="29"/>
  <c r="G24" i="29"/>
  <c r="F24" i="29"/>
  <c r="E24" i="29"/>
  <c r="K23" i="29"/>
  <c r="J23" i="29"/>
  <c r="I23" i="29"/>
  <c r="H23" i="29"/>
  <c r="G23" i="29"/>
  <c r="F23" i="29"/>
  <c r="E23" i="29"/>
  <c r="E35" i="29" s="1"/>
  <c r="D15" i="29"/>
  <c r="D14" i="29"/>
  <c r="J13" i="29"/>
  <c r="H13" i="29"/>
  <c r="C31" i="29" s="1"/>
  <c r="F13" i="29"/>
  <c r="D13" i="29"/>
  <c r="C25" i="29" s="1"/>
  <c r="J12" i="29"/>
  <c r="H12" i="29"/>
  <c r="C28" i="29" s="1"/>
  <c r="F12" i="29"/>
  <c r="D12" i="29"/>
  <c r="C22" i="29" s="1"/>
  <c r="D8" i="29"/>
  <c r="D7" i="29"/>
  <c r="D6" i="29"/>
  <c r="D5" i="29"/>
  <c r="D4" i="29"/>
  <c r="D3" i="29"/>
  <c r="E35" i="28"/>
  <c r="I33" i="28"/>
  <c r="H33" i="28"/>
  <c r="G33" i="28"/>
  <c r="F33" i="28"/>
  <c r="E33" i="28"/>
  <c r="J32" i="28"/>
  <c r="I32" i="28"/>
  <c r="H32" i="28"/>
  <c r="G32" i="28"/>
  <c r="F32" i="28"/>
  <c r="K32" i="28" s="1"/>
  <c r="E32" i="28"/>
  <c r="I30" i="28"/>
  <c r="H30" i="28"/>
  <c r="G30" i="28"/>
  <c r="F30" i="28"/>
  <c r="E30" i="28"/>
  <c r="J29" i="28"/>
  <c r="I29" i="28"/>
  <c r="H29" i="28"/>
  <c r="G29" i="28"/>
  <c r="F29" i="28"/>
  <c r="E29" i="28"/>
  <c r="I27" i="28"/>
  <c r="H27" i="28"/>
  <c r="G27" i="28"/>
  <c r="F27" i="28"/>
  <c r="E27" i="28"/>
  <c r="K27" i="28" s="1"/>
  <c r="J26" i="28"/>
  <c r="I26" i="28"/>
  <c r="H26" i="28"/>
  <c r="G26" i="28"/>
  <c r="F26" i="28"/>
  <c r="E26" i="28"/>
  <c r="I24" i="28"/>
  <c r="H24" i="28"/>
  <c r="G24" i="28"/>
  <c r="G36" i="28" s="1"/>
  <c r="F24" i="28"/>
  <c r="E24" i="28"/>
  <c r="J23" i="28"/>
  <c r="I23" i="28"/>
  <c r="H23" i="28"/>
  <c r="G23" i="28"/>
  <c r="G35" i="28" s="1"/>
  <c r="F23" i="28"/>
  <c r="E23" i="28"/>
  <c r="C22" i="28"/>
  <c r="D15" i="28"/>
  <c r="D14" i="28"/>
  <c r="J13" i="28"/>
  <c r="H13" i="28"/>
  <c r="C31" i="28" s="1"/>
  <c r="F13" i="28"/>
  <c r="D13" i="28"/>
  <c r="C25" i="28" s="1"/>
  <c r="J12" i="28"/>
  <c r="H12" i="28"/>
  <c r="C28" i="28" s="1"/>
  <c r="F12" i="28"/>
  <c r="D12" i="28"/>
  <c r="D8" i="28"/>
  <c r="D7" i="28"/>
  <c r="D6" i="28"/>
  <c r="D5" i="28"/>
  <c r="D4" i="28"/>
  <c r="D3" i="28"/>
  <c r="E35" i="27"/>
  <c r="I33" i="27"/>
  <c r="H33" i="27"/>
  <c r="G33" i="27"/>
  <c r="F33" i="27"/>
  <c r="E33" i="27"/>
  <c r="J32" i="27"/>
  <c r="I32" i="27"/>
  <c r="H32" i="27"/>
  <c r="G32" i="27"/>
  <c r="F32" i="27"/>
  <c r="E32" i="27"/>
  <c r="I30" i="27"/>
  <c r="H30" i="27"/>
  <c r="G30" i="27"/>
  <c r="F30" i="27"/>
  <c r="E30" i="27"/>
  <c r="J29" i="27"/>
  <c r="I29" i="27"/>
  <c r="H29" i="27"/>
  <c r="G29" i="27"/>
  <c r="F29" i="27"/>
  <c r="E29" i="27"/>
  <c r="I27" i="27"/>
  <c r="H27" i="27"/>
  <c r="G27" i="27"/>
  <c r="F27" i="27"/>
  <c r="E27" i="27"/>
  <c r="J26" i="27"/>
  <c r="I26" i="27"/>
  <c r="H26" i="27"/>
  <c r="G26" i="27"/>
  <c r="F26" i="27"/>
  <c r="E26" i="27"/>
  <c r="K26" i="27" s="1"/>
  <c r="C25" i="27"/>
  <c r="I24" i="27"/>
  <c r="H24" i="27"/>
  <c r="G24" i="27"/>
  <c r="F24" i="27"/>
  <c r="F36" i="27" s="1"/>
  <c r="E24" i="27"/>
  <c r="J23" i="27"/>
  <c r="I23" i="27"/>
  <c r="H23" i="27"/>
  <c r="G23" i="27"/>
  <c r="G35" i="27" s="1"/>
  <c r="F23" i="27"/>
  <c r="F35" i="27" s="1"/>
  <c r="E23" i="27"/>
  <c r="D15" i="27"/>
  <c r="D14" i="27"/>
  <c r="J13" i="27"/>
  <c r="H13" i="27"/>
  <c r="C31" i="27" s="1"/>
  <c r="F13" i="27"/>
  <c r="D13" i="27"/>
  <c r="J12" i="27"/>
  <c r="H12" i="27"/>
  <c r="C28" i="27" s="1"/>
  <c r="F12" i="27"/>
  <c r="D12" i="27"/>
  <c r="C22" i="27" s="1"/>
  <c r="D8" i="27"/>
  <c r="D7" i="27"/>
  <c r="D6" i="27"/>
  <c r="D5" i="27"/>
  <c r="D4" i="27"/>
  <c r="D3" i="27"/>
  <c r="I33" i="26"/>
  <c r="H33" i="26"/>
  <c r="G33" i="26"/>
  <c r="F33" i="26"/>
  <c r="E33" i="26"/>
  <c r="J32" i="26"/>
  <c r="I32" i="26"/>
  <c r="H32" i="26"/>
  <c r="G32" i="26"/>
  <c r="F32" i="26"/>
  <c r="E32" i="26"/>
  <c r="I30" i="26"/>
  <c r="H30" i="26"/>
  <c r="G30" i="26"/>
  <c r="F30" i="26"/>
  <c r="E30" i="26"/>
  <c r="K30" i="26" s="1"/>
  <c r="J29" i="26"/>
  <c r="I29" i="26"/>
  <c r="H29" i="26"/>
  <c r="G29" i="26"/>
  <c r="F29" i="26"/>
  <c r="E29" i="26"/>
  <c r="I27" i="26"/>
  <c r="H27" i="26"/>
  <c r="G27" i="26"/>
  <c r="F27" i="26"/>
  <c r="E27" i="26"/>
  <c r="J26" i="26"/>
  <c r="I26" i="26"/>
  <c r="H26" i="26"/>
  <c r="G26" i="26"/>
  <c r="F26" i="26"/>
  <c r="E26" i="26"/>
  <c r="I24" i="26"/>
  <c r="H24" i="26"/>
  <c r="G24" i="26"/>
  <c r="G36" i="26" s="1"/>
  <c r="F24" i="26"/>
  <c r="E24" i="26"/>
  <c r="K24" i="26" s="1"/>
  <c r="J23" i="26"/>
  <c r="I23" i="26"/>
  <c r="I35" i="26" s="1"/>
  <c r="H23" i="26"/>
  <c r="G23" i="26"/>
  <c r="G35" i="26" s="1"/>
  <c r="F23" i="26"/>
  <c r="F35" i="26" s="1"/>
  <c r="E23" i="26"/>
  <c r="D15" i="26"/>
  <c r="D14" i="26"/>
  <c r="J13" i="26"/>
  <c r="H13" i="26"/>
  <c r="C31" i="26" s="1"/>
  <c r="F13" i="26"/>
  <c r="D13" i="26"/>
  <c r="C25" i="26" s="1"/>
  <c r="J12" i="26"/>
  <c r="H12" i="26"/>
  <c r="C28" i="26" s="1"/>
  <c r="F12" i="26"/>
  <c r="D12" i="26"/>
  <c r="C22" i="26" s="1"/>
  <c r="D8" i="26"/>
  <c r="D7" i="26"/>
  <c r="D6" i="26"/>
  <c r="D5" i="26"/>
  <c r="D4" i="26"/>
  <c r="D3" i="26"/>
  <c r="G35" i="25"/>
  <c r="I33" i="25"/>
  <c r="H33" i="25"/>
  <c r="G33" i="25"/>
  <c r="F33" i="25"/>
  <c r="E33" i="25"/>
  <c r="J32" i="25"/>
  <c r="I32" i="25"/>
  <c r="H32" i="25"/>
  <c r="G32" i="25"/>
  <c r="F32" i="25"/>
  <c r="E32" i="25"/>
  <c r="C31" i="25"/>
  <c r="I30" i="25"/>
  <c r="H30" i="25"/>
  <c r="G30" i="25"/>
  <c r="F30" i="25"/>
  <c r="E30" i="25"/>
  <c r="J29" i="25"/>
  <c r="I29" i="25"/>
  <c r="H29" i="25"/>
  <c r="G29" i="25"/>
  <c r="F29" i="25"/>
  <c r="E29" i="25"/>
  <c r="K29" i="25" s="1"/>
  <c r="I27" i="25"/>
  <c r="H27" i="25"/>
  <c r="G27" i="25"/>
  <c r="F27" i="25"/>
  <c r="F36" i="25" s="1"/>
  <c r="E27" i="25"/>
  <c r="J26" i="25"/>
  <c r="I26" i="25"/>
  <c r="H26" i="25"/>
  <c r="G26" i="25"/>
  <c r="F26" i="25"/>
  <c r="F35" i="25" s="1"/>
  <c r="E26" i="25"/>
  <c r="I24" i="25"/>
  <c r="I36" i="25" s="1"/>
  <c r="H24" i="25"/>
  <c r="H36" i="25" s="1"/>
  <c r="G24" i="25"/>
  <c r="G36" i="25" s="1"/>
  <c r="F24" i="25"/>
  <c r="E24" i="25"/>
  <c r="J23" i="25"/>
  <c r="J35" i="25" s="1"/>
  <c r="I23" i="25"/>
  <c r="H23" i="25"/>
  <c r="H35" i="25" s="1"/>
  <c r="G23" i="25"/>
  <c r="F23" i="25"/>
  <c r="E23" i="25"/>
  <c r="K23" i="25" s="1"/>
  <c r="D15" i="25"/>
  <c r="D14" i="25"/>
  <c r="J13" i="25"/>
  <c r="H13" i="25"/>
  <c r="F13" i="25"/>
  <c r="D13" i="25"/>
  <c r="C25" i="25" s="1"/>
  <c r="J12" i="25"/>
  <c r="H12" i="25"/>
  <c r="C28" i="25" s="1"/>
  <c r="F12" i="25"/>
  <c r="D12" i="25"/>
  <c r="C22" i="25" s="1"/>
  <c r="D8" i="25"/>
  <c r="D7" i="25"/>
  <c r="D6" i="25"/>
  <c r="D5" i="25"/>
  <c r="D4" i="25"/>
  <c r="D3" i="25"/>
  <c r="I33" i="24"/>
  <c r="H33" i="24"/>
  <c r="G33" i="24"/>
  <c r="F33" i="24"/>
  <c r="E33" i="24"/>
  <c r="K33" i="24" s="1"/>
  <c r="J32" i="24"/>
  <c r="I32" i="24"/>
  <c r="H32" i="24"/>
  <c r="G32" i="24"/>
  <c r="F32" i="24"/>
  <c r="E32" i="24"/>
  <c r="I30" i="24"/>
  <c r="H30" i="24"/>
  <c r="G30" i="24"/>
  <c r="F30" i="24"/>
  <c r="E30" i="24"/>
  <c r="J29" i="24"/>
  <c r="I29" i="24"/>
  <c r="H29" i="24"/>
  <c r="G29" i="24"/>
  <c r="F29" i="24"/>
  <c r="E29" i="24"/>
  <c r="I27" i="24"/>
  <c r="H27" i="24"/>
  <c r="G27" i="24"/>
  <c r="F27" i="24"/>
  <c r="E27" i="24"/>
  <c r="J26" i="24"/>
  <c r="I26" i="24"/>
  <c r="H26" i="24"/>
  <c r="G26" i="24"/>
  <c r="G35" i="24" s="1"/>
  <c r="F26" i="24"/>
  <c r="E26" i="24"/>
  <c r="I24" i="24"/>
  <c r="H24" i="24"/>
  <c r="H36" i="24" s="1"/>
  <c r="G24" i="24"/>
  <c r="F24" i="24"/>
  <c r="E24" i="24"/>
  <c r="J23" i="24"/>
  <c r="I23" i="24"/>
  <c r="I35" i="24" s="1"/>
  <c r="H23" i="24"/>
  <c r="H35" i="24" s="1"/>
  <c r="G23" i="24"/>
  <c r="F23" i="24"/>
  <c r="F35" i="24" s="1"/>
  <c r="E23" i="24"/>
  <c r="K23" i="24" s="1"/>
  <c r="D15" i="24"/>
  <c r="D14" i="24"/>
  <c r="J13" i="24"/>
  <c r="H13" i="24"/>
  <c r="C31" i="24" s="1"/>
  <c r="F13" i="24"/>
  <c r="D13" i="24"/>
  <c r="C25" i="24" s="1"/>
  <c r="J12" i="24"/>
  <c r="H12" i="24"/>
  <c r="C28" i="24" s="1"/>
  <c r="F12" i="24"/>
  <c r="D12" i="24"/>
  <c r="C22" i="24" s="1"/>
  <c r="D8" i="24"/>
  <c r="D7" i="24"/>
  <c r="D6" i="24"/>
  <c r="D5" i="24"/>
  <c r="D4" i="24"/>
  <c r="D3" i="24"/>
  <c r="I35" i="23"/>
  <c r="I33" i="23"/>
  <c r="H33" i="23"/>
  <c r="G33" i="23"/>
  <c r="F33" i="23"/>
  <c r="E33" i="23"/>
  <c r="J32" i="23"/>
  <c r="I32" i="23"/>
  <c r="H32" i="23"/>
  <c r="G32" i="23"/>
  <c r="F32" i="23"/>
  <c r="E32" i="23"/>
  <c r="K32" i="23" s="1"/>
  <c r="I30" i="23"/>
  <c r="H30" i="23"/>
  <c r="G30" i="23"/>
  <c r="F30" i="23"/>
  <c r="E30" i="23"/>
  <c r="J29" i="23"/>
  <c r="I29" i="23"/>
  <c r="H29" i="23"/>
  <c r="G29" i="23"/>
  <c r="F29" i="23"/>
  <c r="E29" i="23"/>
  <c r="I27" i="23"/>
  <c r="H27" i="23"/>
  <c r="G27" i="23"/>
  <c r="F27" i="23"/>
  <c r="E27" i="23"/>
  <c r="J26" i="23"/>
  <c r="I26" i="23"/>
  <c r="H26" i="23"/>
  <c r="G26" i="23"/>
  <c r="F26" i="23"/>
  <c r="E26" i="23"/>
  <c r="K26" i="23" s="1"/>
  <c r="I24" i="23"/>
  <c r="H24" i="23"/>
  <c r="G24" i="23"/>
  <c r="F24" i="23"/>
  <c r="E24" i="23"/>
  <c r="E36" i="23" s="1"/>
  <c r="J23" i="23"/>
  <c r="J35" i="23" s="1"/>
  <c r="I23" i="23"/>
  <c r="H23" i="23"/>
  <c r="G23" i="23"/>
  <c r="F23" i="23"/>
  <c r="E23" i="23"/>
  <c r="D15" i="23"/>
  <c r="D14" i="23"/>
  <c r="J13" i="23"/>
  <c r="H13" i="23"/>
  <c r="C31" i="23" s="1"/>
  <c r="F13" i="23"/>
  <c r="D13" i="23"/>
  <c r="C25" i="23" s="1"/>
  <c r="J12" i="23"/>
  <c r="H12" i="23"/>
  <c r="C28" i="23" s="1"/>
  <c r="F12" i="23"/>
  <c r="D12" i="23"/>
  <c r="C22" i="23" s="1"/>
  <c r="D8" i="23"/>
  <c r="D7" i="23"/>
  <c r="D6" i="23"/>
  <c r="D5" i="23"/>
  <c r="D4" i="23"/>
  <c r="D3" i="23"/>
  <c r="J35" i="22"/>
  <c r="I33" i="22"/>
  <c r="H33" i="22"/>
  <c r="G33" i="22"/>
  <c r="F33" i="22"/>
  <c r="E33" i="22"/>
  <c r="J32" i="22"/>
  <c r="I32" i="22"/>
  <c r="H32" i="22"/>
  <c r="G32" i="22"/>
  <c r="F32" i="22"/>
  <c r="E32" i="22"/>
  <c r="C31" i="22"/>
  <c r="I30" i="22"/>
  <c r="H30" i="22"/>
  <c r="G30" i="22"/>
  <c r="F30" i="22"/>
  <c r="E30" i="22"/>
  <c r="J29" i="22"/>
  <c r="I29" i="22"/>
  <c r="H29" i="22"/>
  <c r="G29" i="22"/>
  <c r="F29" i="22"/>
  <c r="E29" i="22"/>
  <c r="I27" i="22"/>
  <c r="I36" i="22" s="1"/>
  <c r="H27" i="22"/>
  <c r="H36" i="22" s="1"/>
  <c r="G27" i="22"/>
  <c r="F27" i="22"/>
  <c r="E27" i="22"/>
  <c r="J26" i="22"/>
  <c r="I26" i="22"/>
  <c r="H26" i="22"/>
  <c r="G26" i="22"/>
  <c r="F26" i="22"/>
  <c r="K26" i="22" s="1"/>
  <c r="E26" i="22"/>
  <c r="C25" i="22"/>
  <c r="I24" i="22"/>
  <c r="H24" i="22"/>
  <c r="G24" i="22"/>
  <c r="F24" i="22"/>
  <c r="E24" i="22"/>
  <c r="E36" i="22" s="1"/>
  <c r="J23" i="22"/>
  <c r="I23" i="22"/>
  <c r="H23" i="22"/>
  <c r="G23" i="22"/>
  <c r="G35" i="22" s="1"/>
  <c r="F23" i="22"/>
  <c r="F35" i="22" s="1"/>
  <c r="E23" i="22"/>
  <c r="E35" i="22" s="1"/>
  <c r="D15" i="22"/>
  <c r="D14" i="22"/>
  <c r="J13" i="22"/>
  <c r="H13" i="22"/>
  <c r="F13" i="22"/>
  <c r="D13" i="22"/>
  <c r="J12" i="22"/>
  <c r="H12" i="22"/>
  <c r="C28" i="22" s="1"/>
  <c r="F12" i="22"/>
  <c r="D12" i="22"/>
  <c r="C22" i="22" s="1"/>
  <c r="D8" i="22"/>
  <c r="D7" i="22"/>
  <c r="D6" i="22"/>
  <c r="D5" i="22"/>
  <c r="D4" i="22"/>
  <c r="D3" i="22"/>
  <c r="I33" i="21"/>
  <c r="H33" i="21"/>
  <c r="G33" i="21"/>
  <c r="F33" i="21"/>
  <c r="E33" i="21"/>
  <c r="J32" i="21"/>
  <c r="I32" i="21"/>
  <c r="H32" i="21"/>
  <c r="G32" i="21"/>
  <c r="F32" i="21"/>
  <c r="E32" i="21"/>
  <c r="I30" i="21"/>
  <c r="H30" i="21"/>
  <c r="G30" i="21"/>
  <c r="F30" i="21"/>
  <c r="E30" i="21"/>
  <c r="J29" i="21"/>
  <c r="I29" i="21"/>
  <c r="H29" i="21"/>
  <c r="G29" i="21"/>
  <c r="F29" i="21"/>
  <c r="E29" i="21"/>
  <c r="I27" i="21"/>
  <c r="H27" i="21"/>
  <c r="G27" i="21"/>
  <c r="F27" i="21"/>
  <c r="E27" i="21"/>
  <c r="K27" i="21" s="1"/>
  <c r="J26" i="21"/>
  <c r="I26" i="21"/>
  <c r="H26" i="21"/>
  <c r="G26" i="21"/>
  <c r="F26" i="21"/>
  <c r="E26" i="21"/>
  <c r="I24" i="21"/>
  <c r="H24" i="21"/>
  <c r="G24" i="21"/>
  <c r="G36" i="21" s="1"/>
  <c r="F24" i="21"/>
  <c r="E24" i="21"/>
  <c r="K24" i="21" s="1"/>
  <c r="J23" i="21"/>
  <c r="I23" i="21"/>
  <c r="I35" i="21" s="1"/>
  <c r="H23" i="21"/>
  <c r="G23" i="21"/>
  <c r="G35" i="21" s="1"/>
  <c r="F23" i="21"/>
  <c r="F35" i="21" s="1"/>
  <c r="E23" i="21"/>
  <c r="D15" i="21"/>
  <c r="D14" i="21"/>
  <c r="J13" i="21"/>
  <c r="H13" i="21"/>
  <c r="C31" i="21" s="1"/>
  <c r="F13" i="21"/>
  <c r="D13" i="21"/>
  <c r="C25" i="21" s="1"/>
  <c r="J12" i="21"/>
  <c r="H12" i="21"/>
  <c r="C28" i="21" s="1"/>
  <c r="F12" i="21"/>
  <c r="D12" i="21"/>
  <c r="C22" i="21" s="1"/>
  <c r="D8" i="21"/>
  <c r="D7" i="21"/>
  <c r="D6" i="21"/>
  <c r="D5" i="21"/>
  <c r="D4" i="21"/>
  <c r="D3" i="21"/>
  <c r="E36" i="20"/>
  <c r="I33" i="20"/>
  <c r="H33" i="20"/>
  <c r="G33" i="20"/>
  <c r="F33" i="20"/>
  <c r="E33" i="20"/>
  <c r="J32" i="20"/>
  <c r="I32" i="20"/>
  <c r="H32" i="20"/>
  <c r="G32" i="20"/>
  <c r="F32" i="20"/>
  <c r="E32" i="20"/>
  <c r="I30" i="20"/>
  <c r="H30" i="20"/>
  <c r="G30" i="20"/>
  <c r="F30" i="20"/>
  <c r="E30" i="20"/>
  <c r="J29" i="20"/>
  <c r="I29" i="20"/>
  <c r="H29" i="20"/>
  <c r="G29" i="20"/>
  <c r="F29" i="20"/>
  <c r="K29" i="20" s="1"/>
  <c r="E29" i="20"/>
  <c r="C28" i="20"/>
  <c r="K27" i="20"/>
  <c r="I27" i="20"/>
  <c r="H27" i="20"/>
  <c r="G27" i="20"/>
  <c r="F27" i="20"/>
  <c r="E27" i="20"/>
  <c r="J26" i="20"/>
  <c r="I26" i="20"/>
  <c r="H26" i="20"/>
  <c r="G26" i="20"/>
  <c r="F26" i="20"/>
  <c r="E26" i="20"/>
  <c r="I24" i="20"/>
  <c r="H24" i="20"/>
  <c r="G24" i="20"/>
  <c r="F24" i="20"/>
  <c r="F36" i="20" s="1"/>
  <c r="E24" i="20"/>
  <c r="J23" i="20"/>
  <c r="J35" i="20" s="1"/>
  <c r="I23" i="20"/>
  <c r="I35" i="20" s="1"/>
  <c r="H23" i="20"/>
  <c r="G23" i="20"/>
  <c r="F23" i="20"/>
  <c r="K23" i="20" s="1"/>
  <c r="E23" i="20"/>
  <c r="D15" i="20"/>
  <c r="D14" i="20"/>
  <c r="J13" i="20"/>
  <c r="H13" i="20"/>
  <c r="C31" i="20" s="1"/>
  <c r="F13" i="20"/>
  <c r="D13" i="20"/>
  <c r="C25" i="20" s="1"/>
  <c r="J12" i="20"/>
  <c r="H12" i="20"/>
  <c r="F12" i="20"/>
  <c r="D12" i="20"/>
  <c r="C22" i="20" s="1"/>
  <c r="D8" i="20"/>
  <c r="D7" i="20"/>
  <c r="D6" i="20"/>
  <c r="D5" i="20"/>
  <c r="D4" i="20"/>
  <c r="D3" i="20"/>
  <c r="G36" i="19"/>
  <c r="I33" i="19"/>
  <c r="H33" i="19"/>
  <c r="G33" i="19"/>
  <c r="F33" i="19"/>
  <c r="E33" i="19"/>
  <c r="J32" i="19"/>
  <c r="I32" i="19"/>
  <c r="H32" i="19"/>
  <c r="G32" i="19"/>
  <c r="F32" i="19"/>
  <c r="E32" i="19"/>
  <c r="C31" i="19"/>
  <c r="I30" i="19"/>
  <c r="H30" i="19"/>
  <c r="G30" i="19"/>
  <c r="F30" i="19"/>
  <c r="K30" i="19" s="1"/>
  <c r="E30" i="19"/>
  <c r="J29" i="19"/>
  <c r="I29" i="19"/>
  <c r="H29" i="19"/>
  <c r="G29" i="19"/>
  <c r="F29" i="19"/>
  <c r="E29" i="19"/>
  <c r="I27" i="19"/>
  <c r="H27" i="19"/>
  <c r="G27" i="19"/>
  <c r="F27" i="19"/>
  <c r="E27" i="19"/>
  <c r="J26" i="19"/>
  <c r="I26" i="19"/>
  <c r="H26" i="19"/>
  <c r="G26" i="19"/>
  <c r="F26" i="19"/>
  <c r="F35" i="19" s="1"/>
  <c r="E26" i="19"/>
  <c r="K26" i="19" s="1"/>
  <c r="I24" i="19"/>
  <c r="I36" i="19" s="1"/>
  <c r="H24" i="19"/>
  <c r="H36" i="19" s="1"/>
  <c r="G24" i="19"/>
  <c r="F24" i="19"/>
  <c r="E24" i="19"/>
  <c r="K24" i="19" s="1"/>
  <c r="J23" i="19"/>
  <c r="I23" i="19"/>
  <c r="I35" i="19" s="1"/>
  <c r="H23" i="19"/>
  <c r="H35" i="19" s="1"/>
  <c r="G23" i="19"/>
  <c r="F23" i="19"/>
  <c r="E23" i="19"/>
  <c r="C22" i="19"/>
  <c r="D15" i="19"/>
  <c r="D14" i="19"/>
  <c r="J13" i="19"/>
  <c r="H13" i="19"/>
  <c r="F13" i="19"/>
  <c r="D13" i="19"/>
  <c r="C25" i="19" s="1"/>
  <c r="J12" i="19"/>
  <c r="H12" i="19"/>
  <c r="C28" i="19" s="1"/>
  <c r="F12" i="19"/>
  <c r="D12" i="19"/>
  <c r="D8" i="19"/>
  <c r="D7" i="19"/>
  <c r="D6" i="19"/>
  <c r="D5" i="19"/>
  <c r="D4" i="19"/>
  <c r="D3" i="19"/>
  <c r="G35" i="18"/>
  <c r="I33" i="18"/>
  <c r="H33" i="18"/>
  <c r="G33" i="18"/>
  <c r="F33" i="18"/>
  <c r="E33" i="18"/>
  <c r="J32" i="18"/>
  <c r="I32" i="18"/>
  <c r="H32" i="18"/>
  <c r="G32" i="18"/>
  <c r="F32" i="18"/>
  <c r="E32" i="18"/>
  <c r="C31" i="18"/>
  <c r="K30" i="18"/>
  <c r="I30" i="18"/>
  <c r="H30" i="18"/>
  <c r="G30" i="18"/>
  <c r="F30" i="18"/>
  <c r="E30" i="18"/>
  <c r="J29" i="18"/>
  <c r="I29" i="18"/>
  <c r="H29" i="18"/>
  <c r="G29" i="18"/>
  <c r="F29" i="18"/>
  <c r="E29" i="18"/>
  <c r="I27" i="18"/>
  <c r="H27" i="18"/>
  <c r="G27" i="18"/>
  <c r="F27" i="18"/>
  <c r="F36" i="18" s="1"/>
  <c r="E27" i="18"/>
  <c r="J26" i="18"/>
  <c r="I26" i="18"/>
  <c r="H26" i="18"/>
  <c r="G26" i="18"/>
  <c r="F26" i="18"/>
  <c r="E26" i="18"/>
  <c r="I24" i="18"/>
  <c r="I36" i="18" s="1"/>
  <c r="H24" i="18"/>
  <c r="H36" i="18" s="1"/>
  <c r="G24" i="18"/>
  <c r="F24" i="18"/>
  <c r="E24" i="18"/>
  <c r="E36" i="18" s="1"/>
  <c r="J23" i="18"/>
  <c r="J35" i="18" s="1"/>
  <c r="I23" i="18"/>
  <c r="I35" i="18" s="1"/>
  <c r="H23" i="18"/>
  <c r="G23" i="18"/>
  <c r="F23" i="18"/>
  <c r="E23" i="18"/>
  <c r="D15" i="18"/>
  <c r="D14" i="18"/>
  <c r="J13" i="18"/>
  <c r="H13" i="18"/>
  <c r="F13" i="18"/>
  <c r="D13" i="18"/>
  <c r="C25" i="18" s="1"/>
  <c r="J12" i="18"/>
  <c r="H12" i="18"/>
  <c r="C28" i="18" s="1"/>
  <c r="F12" i="18"/>
  <c r="D12" i="18"/>
  <c r="C22" i="18" s="1"/>
  <c r="D8" i="18"/>
  <c r="D7" i="18"/>
  <c r="D6" i="18"/>
  <c r="D5" i="18"/>
  <c r="D4" i="18"/>
  <c r="D3" i="18"/>
  <c r="I33" i="17"/>
  <c r="H33" i="17"/>
  <c r="G33" i="17"/>
  <c r="F33" i="17"/>
  <c r="E33" i="17"/>
  <c r="J32" i="17"/>
  <c r="I32" i="17"/>
  <c r="H32" i="17"/>
  <c r="G32" i="17"/>
  <c r="F32" i="17"/>
  <c r="E32" i="17"/>
  <c r="I30" i="17"/>
  <c r="H30" i="17"/>
  <c r="G30" i="17"/>
  <c r="F30" i="17"/>
  <c r="E30" i="17"/>
  <c r="J29" i="17"/>
  <c r="I29" i="17"/>
  <c r="H29" i="17"/>
  <c r="G29" i="17"/>
  <c r="F29" i="17"/>
  <c r="K29" i="17" s="1"/>
  <c r="E29" i="17"/>
  <c r="I27" i="17"/>
  <c r="H27" i="17"/>
  <c r="G27" i="17"/>
  <c r="F27" i="17"/>
  <c r="E27" i="17"/>
  <c r="J26" i="17"/>
  <c r="I26" i="17"/>
  <c r="H26" i="17"/>
  <c r="G26" i="17"/>
  <c r="F26" i="17"/>
  <c r="E26" i="17"/>
  <c r="I24" i="17"/>
  <c r="H24" i="17"/>
  <c r="G24" i="17"/>
  <c r="F24" i="17"/>
  <c r="E24" i="17"/>
  <c r="E36" i="17" s="1"/>
  <c r="J23" i="17"/>
  <c r="I23" i="17"/>
  <c r="H23" i="17"/>
  <c r="G23" i="17"/>
  <c r="F23" i="17"/>
  <c r="E23" i="17"/>
  <c r="D15" i="17"/>
  <c r="D14" i="17"/>
  <c r="J13" i="17"/>
  <c r="H13" i="17"/>
  <c r="C31" i="17" s="1"/>
  <c r="F13" i="17"/>
  <c r="D13" i="17"/>
  <c r="C25" i="17" s="1"/>
  <c r="J12" i="17"/>
  <c r="H12" i="17"/>
  <c r="C28" i="17" s="1"/>
  <c r="F12" i="17"/>
  <c r="D12" i="17"/>
  <c r="C22" i="17" s="1"/>
  <c r="D8" i="17"/>
  <c r="D7" i="17"/>
  <c r="D6" i="17"/>
  <c r="D5" i="17"/>
  <c r="D4" i="17"/>
  <c r="D3" i="17"/>
  <c r="I33" i="16"/>
  <c r="H33" i="16"/>
  <c r="G33" i="16"/>
  <c r="F33" i="16"/>
  <c r="E33" i="16"/>
  <c r="K33" i="16" s="1"/>
  <c r="J32" i="16"/>
  <c r="I32" i="16"/>
  <c r="H32" i="16"/>
  <c r="G32" i="16"/>
  <c r="F32" i="16"/>
  <c r="E32" i="16"/>
  <c r="I30" i="16"/>
  <c r="H30" i="16"/>
  <c r="G30" i="16"/>
  <c r="F30" i="16"/>
  <c r="E30" i="16"/>
  <c r="J29" i="16"/>
  <c r="I29" i="16"/>
  <c r="H29" i="16"/>
  <c r="G29" i="16"/>
  <c r="F29" i="16"/>
  <c r="E29" i="16"/>
  <c r="I27" i="16"/>
  <c r="H27" i="16"/>
  <c r="G27" i="16"/>
  <c r="F27" i="16"/>
  <c r="E27" i="16"/>
  <c r="J26" i="16"/>
  <c r="I26" i="16"/>
  <c r="H26" i="16"/>
  <c r="G26" i="16"/>
  <c r="F26" i="16"/>
  <c r="E26" i="16"/>
  <c r="I24" i="16"/>
  <c r="I36" i="16" s="1"/>
  <c r="H24" i="16"/>
  <c r="G24" i="16"/>
  <c r="F24" i="16"/>
  <c r="E24" i="16"/>
  <c r="J23" i="16"/>
  <c r="I23" i="16"/>
  <c r="H23" i="16"/>
  <c r="G23" i="16"/>
  <c r="F23" i="16"/>
  <c r="F35" i="16" s="1"/>
  <c r="E23" i="16"/>
  <c r="K23" i="16" s="1"/>
  <c r="D15" i="16"/>
  <c r="D14" i="16"/>
  <c r="J13" i="16"/>
  <c r="H13" i="16"/>
  <c r="C31" i="16" s="1"/>
  <c r="F13" i="16"/>
  <c r="D13" i="16"/>
  <c r="C25" i="16" s="1"/>
  <c r="J12" i="16"/>
  <c r="H12" i="16"/>
  <c r="C28" i="16" s="1"/>
  <c r="F12" i="16"/>
  <c r="D12" i="16"/>
  <c r="C22" i="16" s="1"/>
  <c r="D8" i="16"/>
  <c r="D7" i="16"/>
  <c r="D6" i="16"/>
  <c r="D5" i="16"/>
  <c r="D4" i="16"/>
  <c r="D3" i="16"/>
  <c r="I33" i="15"/>
  <c r="H33" i="15"/>
  <c r="G33" i="15"/>
  <c r="F33" i="15"/>
  <c r="E33" i="15"/>
  <c r="J32" i="15"/>
  <c r="I32" i="15"/>
  <c r="H32" i="15"/>
  <c r="G32" i="15"/>
  <c r="F32" i="15"/>
  <c r="E32" i="15"/>
  <c r="I30" i="15"/>
  <c r="H30" i="15"/>
  <c r="G30" i="15"/>
  <c r="F30" i="15"/>
  <c r="E30" i="15"/>
  <c r="J29" i="15"/>
  <c r="I29" i="15"/>
  <c r="H29" i="15"/>
  <c r="G29" i="15"/>
  <c r="F29" i="15"/>
  <c r="E29" i="15"/>
  <c r="I27" i="15"/>
  <c r="H27" i="15"/>
  <c r="G27" i="15"/>
  <c r="F27" i="15"/>
  <c r="E27" i="15"/>
  <c r="J26" i="15"/>
  <c r="I26" i="15"/>
  <c r="H26" i="15"/>
  <c r="G26" i="15"/>
  <c r="F26" i="15"/>
  <c r="E26" i="15"/>
  <c r="I24" i="15"/>
  <c r="H24" i="15"/>
  <c r="G24" i="15"/>
  <c r="F24" i="15"/>
  <c r="E24" i="15"/>
  <c r="J23" i="15"/>
  <c r="I23" i="15"/>
  <c r="H23" i="15"/>
  <c r="G23" i="15"/>
  <c r="F23" i="15"/>
  <c r="E23" i="15"/>
  <c r="D15" i="15"/>
  <c r="D14" i="15"/>
  <c r="J13" i="15"/>
  <c r="H13" i="15"/>
  <c r="C31" i="15" s="1"/>
  <c r="F13" i="15"/>
  <c r="D13" i="15"/>
  <c r="C25" i="15" s="1"/>
  <c r="J12" i="15"/>
  <c r="H12" i="15"/>
  <c r="C28" i="15" s="1"/>
  <c r="F12" i="15"/>
  <c r="D12" i="15"/>
  <c r="C22" i="15" s="1"/>
  <c r="D8" i="15"/>
  <c r="D7" i="15"/>
  <c r="D6" i="15"/>
  <c r="D5" i="15"/>
  <c r="D3" i="15"/>
  <c r="I33" i="14"/>
  <c r="H33" i="14"/>
  <c r="G33" i="14"/>
  <c r="F33" i="14"/>
  <c r="E33" i="14"/>
  <c r="J32" i="14"/>
  <c r="I32" i="14"/>
  <c r="H32" i="14"/>
  <c r="G32" i="14"/>
  <c r="F32" i="14"/>
  <c r="K32" i="14" s="1"/>
  <c r="E32" i="14"/>
  <c r="I30" i="14"/>
  <c r="H30" i="14"/>
  <c r="G30" i="14"/>
  <c r="F30" i="14"/>
  <c r="E30" i="14"/>
  <c r="J29" i="14"/>
  <c r="I29" i="14"/>
  <c r="H29" i="14"/>
  <c r="G29" i="14"/>
  <c r="F29" i="14"/>
  <c r="E29" i="14"/>
  <c r="I27" i="14"/>
  <c r="H27" i="14"/>
  <c r="G27" i="14"/>
  <c r="F27" i="14"/>
  <c r="E27" i="14"/>
  <c r="K26" i="14"/>
  <c r="J26" i="14"/>
  <c r="I26" i="14"/>
  <c r="H26" i="14"/>
  <c r="G26" i="14"/>
  <c r="F26" i="14"/>
  <c r="E26" i="14"/>
  <c r="I24" i="14"/>
  <c r="H24" i="14"/>
  <c r="G24" i="14"/>
  <c r="F24" i="14"/>
  <c r="E24" i="14"/>
  <c r="J23" i="14"/>
  <c r="I23" i="14"/>
  <c r="H23" i="14"/>
  <c r="G23" i="14"/>
  <c r="F23" i="14"/>
  <c r="E23" i="14"/>
  <c r="K23" i="14" s="1"/>
  <c r="D15" i="14"/>
  <c r="D14" i="14"/>
  <c r="J13" i="14"/>
  <c r="H13" i="14"/>
  <c r="C31" i="14" s="1"/>
  <c r="F13" i="14"/>
  <c r="D13" i="14"/>
  <c r="C25" i="14" s="1"/>
  <c r="J12" i="14"/>
  <c r="H12" i="14"/>
  <c r="C28" i="14" s="1"/>
  <c r="F12" i="14"/>
  <c r="D12" i="14"/>
  <c r="C22" i="14" s="1"/>
  <c r="D8" i="14"/>
  <c r="D7" i="14"/>
  <c r="D6" i="14"/>
  <c r="D5" i="14"/>
  <c r="D4" i="14"/>
  <c r="D3" i="14"/>
  <c r="I35" i="13"/>
  <c r="I33" i="13"/>
  <c r="H33" i="13"/>
  <c r="G33" i="13"/>
  <c r="F33" i="13"/>
  <c r="E33" i="13"/>
  <c r="J32" i="13"/>
  <c r="I32" i="13"/>
  <c r="H32" i="13"/>
  <c r="G32" i="13"/>
  <c r="G35" i="13" s="1"/>
  <c r="F32" i="13"/>
  <c r="E32" i="13"/>
  <c r="I30" i="13"/>
  <c r="H30" i="13"/>
  <c r="G30" i="13"/>
  <c r="F30" i="13"/>
  <c r="E30" i="13"/>
  <c r="J29" i="13"/>
  <c r="I29" i="13"/>
  <c r="H29" i="13"/>
  <c r="G29" i="13"/>
  <c r="F29" i="13"/>
  <c r="E29" i="13"/>
  <c r="I27" i="13"/>
  <c r="H27" i="13"/>
  <c r="G27" i="13"/>
  <c r="F27" i="13"/>
  <c r="E27" i="13"/>
  <c r="J26" i="13"/>
  <c r="I26" i="13"/>
  <c r="H26" i="13"/>
  <c r="G26" i="13"/>
  <c r="F26" i="13"/>
  <c r="E26" i="13"/>
  <c r="E35" i="13" s="1"/>
  <c r="C25" i="13"/>
  <c r="I24" i="13"/>
  <c r="H24" i="13"/>
  <c r="H36" i="13" s="1"/>
  <c r="G24" i="13"/>
  <c r="F24" i="13"/>
  <c r="F36" i="13" s="1"/>
  <c r="E24" i="13"/>
  <c r="E36" i="13" s="1"/>
  <c r="J23" i="13"/>
  <c r="I23" i="13"/>
  <c r="H23" i="13"/>
  <c r="G23" i="13"/>
  <c r="F23" i="13"/>
  <c r="E23" i="13"/>
  <c r="D15" i="13"/>
  <c r="D14" i="13"/>
  <c r="J13" i="13"/>
  <c r="H13" i="13"/>
  <c r="C31" i="13" s="1"/>
  <c r="F13" i="13"/>
  <c r="D13" i="13"/>
  <c r="J12" i="13"/>
  <c r="H12" i="13"/>
  <c r="C28" i="13" s="1"/>
  <c r="F12" i="13"/>
  <c r="D12" i="13"/>
  <c r="C22" i="13" s="1"/>
  <c r="D8" i="13"/>
  <c r="D7" i="13"/>
  <c r="D6" i="13"/>
  <c r="D5" i="13"/>
  <c r="D4" i="13"/>
  <c r="D3" i="13"/>
  <c r="I33" i="12"/>
  <c r="H33" i="12"/>
  <c r="G33" i="12"/>
  <c r="F33" i="12"/>
  <c r="E33" i="12"/>
  <c r="J32" i="12"/>
  <c r="I32" i="12"/>
  <c r="H32" i="12"/>
  <c r="G32" i="12"/>
  <c r="F32" i="12"/>
  <c r="E32" i="12"/>
  <c r="I30" i="12"/>
  <c r="H30" i="12"/>
  <c r="G30" i="12"/>
  <c r="F30" i="12"/>
  <c r="E30" i="12"/>
  <c r="J29" i="12"/>
  <c r="J35" i="12" s="1"/>
  <c r="I29" i="12"/>
  <c r="H29" i="12"/>
  <c r="G29" i="12"/>
  <c r="F29" i="12"/>
  <c r="E29" i="12"/>
  <c r="I27" i="12"/>
  <c r="H27" i="12"/>
  <c r="G27" i="12"/>
  <c r="F27" i="12"/>
  <c r="E27" i="12"/>
  <c r="K27" i="12" s="1"/>
  <c r="J26" i="12"/>
  <c r="I26" i="12"/>
  <c r="H26" i="12"/>
  <c r="G26" i="12"/>
  <c r="F26" i="12"/>
  <c r="E26" i="12"/>
  <c r="I24" i="12"/>
  <c r="H24" i="12"/>
  <c r="G24" i="12"/>
  <c r="F24" i="12"/>
  <c r="E24" i="12"/>
  <c r="K24" i="12" s="1"/>
  <c r="J23" i="12"/>
  <c r="I23" i="12"/>
  <c r="H23" i="12"/>
  <c r="H35" i="12" s="1"/>
  <c r="G23" i="12"/>
  <c r="G35" i="12" s="1"/>
  <c r="F23" i="12"/>
  <c r="E23" i="12"/>
  <c r="C22" i="12"/>
  <c r="D15" i="12"/>
  <c r="D14" i="12"/>
  <c r="J13" i="12"/>
  <c r="H13" i="12"/>
  <c r="C31" i="12" s="1"/>
  <c r="F13" i="12"/>
  <c r="D13" i="12"/>
  <c r="C25" i="12" s="1"/>
  <c r="J12" i="12"/>
  <c r="H12" i="12"/>
  <c r="C28" i="12" s="1"/>
  <c r="F12" i="12"/>
  <c r="D12" i="12"/>
  <c r="D8" i="12"/>
  <c r="D7" i="12"/>
  <c r="D6" i="12"/>
  <c r="D5" i="12"/>
  <c r="D4" i="12"/>
  <c r="D3" i="12"/>
  <c r="I33" i="11"/>
  <c r="H33" i="11"/>
  <c r="G33" i="11"/>
  <c r="F33" i="11"/>
  <c r="E33" i="11"/>
  <c r="J32" i="11"/>
  <c r="I32" i="11"/>
  <c r="H32" i="11"/>
  <c r="G32" i="11"/>
  <c r="F32" i="11"/>
  <c r="E32" i="11"/>
  <c r="K32" i="11" s="1"/>
  <c r="C31" i="11"/>
  <c r="I30" i="11"/>
  <c r="H30" i="11"/>
  <c r="G30" i="11"/>
  <c r="F30" i="11"/>
  <c r="E30" i="11"/>
  <c r="J29" i="11"/>
  <c r="I29" i="11"/>
  <c r="H29" i="11"/>
  <c r="G29" i="11"/>
  <c r="F29" i="11"/>
  <c r="E29" i="11"/>
  <c r="I27" i="11"/>
  <c r="H27" i="11"/>
  <c r="G27" i="11"/>
  <c r="F27" i="11"/>
  <c r="F36" i="11" s="1"/>
  <c r="E27" i="11"/>
  <c r="J26" i="11"/>
  <c r="I26" i="11"/>
  <c r="H26" i="11"/>
  <c r="G26" i="11"/>
  <c r="F26" i="11"/>
  <c r="E26" i="11"/>
  <c r="I24" i="11"/>
  <c r="H24" i="11"/>
  <c r="G24" i="11"/>
  <c r="F24" i="11"/>
  <c r="E24" i="11"/>
  <c r="J23" i="11"/>
  <c r="I23" i="11"/>
  <c r="H23" i="11"/>
  <c r="H35" i="11" s="1"/>
  <c r="G23" i="11"/>
  <c r="F23" i="11"/>
  <c r="E23" i="11"/>
  <c r="D15" i="11"/>
  <c r="D14" i="11"/>
  <c r="J13" i="11"/>
  <c r="H13" i="11"/>
  <c r="F13" i="11"/>
  <c r="D13" i="11"/>
  <c r="C25" i="11" s="1"/>
  <c r="J12" i="11"/>
  <c r="H12" i="11"/>
  <c r="C28" i="11" s="1"/>
  <c r="F12" i="11"/>
  <c r="D12" i="11"/>
  <c r="C22" i="11" s="1"/>
  <c r="D8" i="11"/>
  <c r="D7" i="11"/>
  <c r="D6" i="11"/>
  <c r="D5" i="11"/>
  <c r="D4" i="11"/>
  <c r="D3" i="11"/>
  <c r="H36" i="10"/>
  <c r="K33" i="10"/>
  <c r="I33" i="10"/>
  <c r="H33" i="10"/>
  <c r="G33" i="10"/>
  <c r="F33" i="10"/>
  <c r="E33" i="10"/>
  <c r="J32" i="10"/>
  <c r="I32" i="10"/>
  <c r="H32" i="10"/>
  <c r="G32" i="10"/>
  <c r="F32" i="10"/>
  <c r="E32" i="10"/>
  <c r="K32" i="10" s="1"/>
  <c r="C31" i="10"/>
  <c r="I30" i="10"/>
  <c r="H30" i="10"/>
  <c r="G30" i="10"/>
  <c r="F30" i="10"/>
  <c r="E30" i="10"/>
  <c r="J29" i="10"/>
  <c r="I29" i="10"/>
  <c r="H29" i="10"/>
  <c r="G29" i="10"/>
  <c r="F29" i="10"/>
  <c r="E29" i="10"/>
  <c r="I27" i="10"/>
  <c r="H27" i="10"/>
  <c r="G27" i="10"/>
  <c r="F27" i="10"/>
  <c r="E27" i="10"/>
  <c r="J26" i="10"/>
  <c r="I26" i="10"/>
  <c r="H26" i="10"/>
  <c r="G26" i="10"/>
  <c r="F26" i="10"/>
  <c r="E26" i="10"/>
  <c r="I24" i="10"/>
  <c r="I36" i="10" s="1"/>
  <c r="H24" i="10"/>
  <c r="G24" i="10"/>
  <c r="F24" i="10"/>
  <c r="E24" i="10"/>
  <c r="J23" i="10"/>
  <c r="I23" i="10"/>
  <c r="I35" i="10" s="1"/>
  <c r="H23" i="10"/>
  <c r="G23" i="10"/>
  <c r="F23" i="10"/>
  <c r="E23" i="10"/>
  <c r="C22" i="10"/>
  <c r="D15" i="10"/>
  <c r="D14" i="10"/>
  <c r="J13" i="10"/>
  <c r="H13" i="10"/>
  <c r="F13" i="10"/>
  <c r="D13" i="10"/>
  <c r="C25" i="10" s="1"/>
  <c r="J12" i="10"/>
  <c r="H12" i="10"/>
  <c r="C28" i="10" s="1"/>
  <c r="F12" i="10"/>
  <c r="D12" i="10"/>
  <c r="D8" i="10"/>
  <c r="D7" i="10"/>
  <c r="D6" i="10"/>
  <c r="D5" i="10"/>
  <c r="D4" i="10"/>
  <c r="D3" i="10"/>
  <c r="I33" i="9"/>
  <c r="H33" i="9"/>
  <c r="G33" i="9"/>
  <c r="F33" i="9"/>
  <c r="E33" i="9"/>
  <c r="K32" i="9"/>
  <c r="J32" i="9"/>
  <c r="I32" i="9"/>
  <c r="H32" i="9"/>
  <c r="G32" i="9"/>
  <c r="F32" i="9"/>
  <c r="E32" i="9"/>
  <c r="I30" i="9"/>
  <c r="H30" i="9"/>
  <c r="G30" i="9"/>
  <c r="F30" i="9"/>
  <c r="E30" i="9"/>
  <c r="K30" i="9" s="1"/>
  <c r="J29" i="9"/>
  <c r="I29" i="9"/>
  <c r="H29" i="9"/>
  <c r="G29" i="9"/>
  <c r="F29" i="9"/>
  <c r="E29" i="9"/>
  <c r="I27" i="9"/>
  <c r="H27" i="9"/>
  <c r="H36" i="9" s="1"/>
  <c r="G27" i="9"/>
  <c r="G36" i="9" s="1"/>
  <c r="F27" i="9"/>
  <c r="E27" i="9"/>
  <c r="E36" i="9" s="1"/>
  <c r="J26" i="9"/>
  <c r="I26" i="9"/>
  <c r="H26" i="9"/>
  <c r="G26" i="9"/>
  <c r="F26" i="9"/>
  <c r="E26" i="9"/>
  <c r="I24" i="9"/>
  <c r="H24" i="9"/>
  <c r="G24" i="9"/>
  <c r="F24" i="9"/>
  <c r="F36" i="9" s="1"/>
  <c r="E24" i="9"/>
  <c r="J23" i="9"/>
  <c r="I23" i="9"/>
  <c r="H23" i="9"/>
  <c r="G23" i="9"/>
  <c r="F23" i="9"/>
  <c r="E23" i="9"/>
  <c r="D15" i="9"/>
  <c r="D14" i="9"/>
  <c r="J13" i="9"/>
  <c r="H13" i="9"/>
  <c r="C31" i="9" s="1"/>
  <c r="F13" i="9"/>
  <c r="D13" i="9"/>
  <c r="C25" i="9" s="1"/>
  <c r="J12" i="9"/>
  <c r="H12" i="9"/>
  <c r="C28" i="9" s="1"/>
  <c r="F12" i="9"/>
  <c r="D12" i="9"/>
  <c r="C22" i="9" s="1"/>
  <c r="D8" i="9"/>
  <c r="D7" i="9"/>
  <c r="D6" i="9"/>
  <c r="D5" i="9"/>
  <c r="D4" i="9"/>
  <c r="D3" i="9"/>
  <c r="I33" i="8"/>
  <c r="H33" i="8"/>
  <c r="G33" i="8"/>
  <c r="K33" i="8" s="1"/>
  <c r="F33" i="8"/>
  <c r="E33" i="8"/>
  <c r="J32" i="8"/>
  <c r="I32" i="8"/>
  <c r="H32" i="8"/>
  <c r="G32" i="8"/>
  <c r="F32" i="8"/>
  <c r="E32" i="8"/>
  <c r="I30" i="8"/>
  <c r="H30" i="8"/>
  <c r="G30" i="8"/>
  <c r="K30" i="8" s="1"/>
  <c r="F30" i="8"/>
  <c r="E30" i="8"/>
  <c r="J29" i="8"/>
  <c r="I29" i="8"/>
  <c r="H29" i="8"/>
  <c r="G29" i="8"/>
  <c r="F29" i="8"/>
  <c r="E29" i="8"/>
  <c r="C28" i="8"/>
  <c r="I27" i="8"/>
  <c r="H27" i="8"/>
  <c r="G27" i="8"/>
  <c r="F27" i="8"/>
  <c r="E27" i="8"/>
  <c r="K27" i="8" s="1"/>
  <c r="J26" i="8"/>
  <c r="I26" i="8"/>
  <c r="H26" i="8"/>
  <c r="G26" i="8"/>
  <c r="F26" i="8"/>
  <c r="E26" i="8"/>
  <c r="K26" i="8" s="1"/>
  <c r="I24" i="8"/>
  <c r="H24" i="8"/>
  <c r="G24" i="8"/>
  <c r="F24" i="8"/>
  <c r="E24" i="8"/>
  <c r="J23" i="8"/>
  <c r="I23" i="8"/>
  <c r="H23" i="8"/>
  <c r="H35" i="8" s="1"/>
  <c r="G23" i="8"/>
  <c r="F23" i="8"/>
  <c r="E23" i="8"/>
  <c r="D15" i="8"/>
  <c r="D14" i="8"/>
  <c r="J13" i="8"/>
  <c r="H13" i="8"/>
  <c r="C31" i="8" s="1"/>
  <c r="F13" i="8"/>
  <c r="D13" i="8"/>
  <c r="C25" i="8" s="1"/>
  <c r="J12" i="8"/>
  <c r="H12" i="8"/>
  <c r="F12" i="8"/>
  <c r="D12" i="8"/>
  <c r="C22" i="8" s="1"/>
  <c r="D8" i="8"/>
  <c r="D7" i="8"/>
  <c r="D6" i="8"/>
  <c r="D5" i="8"/>
  <c r="D4" i="8"/>
  <c r="D3" i="8"/>
  <c r="I33" i="7"/>
  <c r="H33" i="7"/>
  <c r="G33" i="7"/>
  <c r="F33" i="7"/>
  <c r="E33" i="7"/>
  <c r="J32" i="7"/>
  <c r="I32" i="7"/>
  <c r="H32" i="7"/>
  <c r="G32" i="7"/>
  <c r="F32" i="7"/>
  <c r="E32" i="7"/>
  <c r="I30" i="7"/>
  <c r="H30" i="7"/>
  <c r="G30" i="7"/>
  <c r="F30" i="7"/>
  <c r="E30" i="7"/>
  <c r="J29" i="7"/>
  <c r="I29" i="7"/>
  <c r="H29" i="7"/>
  <c r="G29" i="7"/>
  <c r="F29" i="7"/>
  <c r="E29" i="7"/>
  <c r="I27" i="7"/>
  <c r="H27" i="7"/>
  <c r="G27" i="7"/>
  <c r="F27" i="7"/>
  <c r="E27" i="7"/>
  <c r="K27" i="7" s="1"/>
  <c r="J26" i="7"/>
  <c r="I26" i="7"/>
  <c r="H26" i="7"/>
  <c r="G26" i="7"/>
  <c r="G35" i="7" s="1"/>
  <c r="F26" i="7"/>
  <c r="E26" i="7"/>
  <c r="I24" i="7"/>
  <c r="H24" i="7"/>
  <c r="H36" i="7" s="1"/>
  <c r="G24" i="7"/>
  <c r="G36" i="7" s="1"/>
  <c r="F24" i="7"/>
  <c r="F36" i="7" s="1"/>
  <c r="E24" i="7"/>
  <c r="J23" i="7"/>
  <c r="I23" i="7"/>
  <c r="H23" i="7"/>
  <c r="H35" i="7" s="1"/>
  <c r="G23" i="7"/>
  <c r="F23" i="7"/>
  <c r="E23" i="7"/>
  <c r="D15" i="7"/>
  <c r="D14" i="7"/>
  <c r="J13" i="7"/>
  <c r="H13" i="7"/>
  <c r="C31" i="7" s="1"/>
  <c r="F13" i="7"/>
  <c r="D13" i="7"/>
  <c r="C25" i="7" s="1"/>
  <c r="J12" i="7"/>
  <c r="H12" i="7"/>
  <c r="C28" i="7" s="1"/>
  <c r="F12" i="7"/>
  <c r="D12" i="7"/>
  <c r="C22" i="7" s="1"/>
  <c r="D8" i="7"/>
  <c r="D7" i="7"/>
  <c r="D6" i="7"/>
  <c r="D5" i="7"/>
  <c r="D4" i="7"/>
  <c r="D3" i="7"/>
  <c r="I33" i="6"/>
  <c r="H33" i="6"/>
  <c r="G33" i="6"/>
  <c r="F33" i="6"/>
  <c r="E33" i="6"/>
  <c r="K33" i="6" s="1"/>
  <c r="J32" i="6"/>
  <c r="I32" i="6"/>
  <c r="H32" i="6"/>
  <c r="G32" i="6"/>
  <c r="F32" i="6"/>
  <c r="E32" i="6"/>
  <c r="I30" i="6"/>
  <c r="H30" i="6"/>
  <c r="G30" i="6"/>
  <c r="F30" i="6"/>
  <c r="E30" i="6"/>
  <c r="K30" i="6" s="1"/>
  <c r="J29" i="6"/>
  <c r="I29" i="6"/>
  <c r="H29" i="6"/>
  <c r="G29" i="6"/>
  <c r="F29" i="6"/>
  <c r="E29" i="6"/>
  <c r="I27" i="6"/>
  <c r="H27" i="6"/>
  <c r="G27" i="6"/>
  <c r="F27" i="6"/>
  <c r="E27" i="6"/>
  <c r="K27" i="6" s="1"/>
  <c r="J26" i="6"/>
  <c r="I26" i="6"/>
  <c r="H26" i="6"/>
  <c r="G26" i="6"/>
  <c r="F26" i="6"/>
  <c r="E26" i="6"/>
  <c r="I24" i="6"/>
  <c r="I36" i="6" s="1"/>
  <c r="H24" i="6"/>
  <c r="G24" i="6"/>
  <c r="F24" i="6"/>
  <c r="F36" i="6" s="1"/>
  <c r="E24" i="6"/>
  <c r="J23" i="6"/>
  <c r="I23" i="6"/>
  <c r="I35" i="6" s="1"/>
  <c r="H23" i="6"/>
  <c r="G23" i="6"/>
  <c r="F23" i="6"/>
  <c r="E23" i="6"/>
  <c r="D15" i="6"/>
  <c r="D14" i="6"/>
  <c r="J13" i="6"/>
  <c r="H13" i="6"/>
  <c r="C31" i="6" s="1"/>
  <c r="F13" i="6"/>
  <c r="D13" i="6"/>
  <c r="C25" i="6" s="1"/>
  <c r="J12" i="6"/>
  <c r="H12" i="6"/>
  <c r="C28" i="6" s="1"/>
  <c r="F12" i="6"/>
  <c r="D12" i="6"/>
  <c r="C22" i="6" s="1"/>
  <c r="D8" i="6"/>
  <c r="D7" i="6"/>
  <c r="D6" i="6"/>
  <c r="D5" i="6"/>
  <c r="D4" i="6"/>
  <c r="D3" i="6"/>
  <c r="F35" i="5"/>
  <c r="I33" i="5"/>
  <c r="H33" i="5"/>
  <c r="G33" i="5"/>
  <c r="F33" i="5"/>
  <c r="E33" i="5"/>
  <c r="J32" i="5"/>
  <c r="I32" i="5"/>
  <c r="H32" i="5"/>
  <c r="G32" i="5"/>
  <c r="G35" i="5" s="1"/>
  <c r="F32" i="5"/>
  <c r="E32" i="5"/>
  <c r="I30" i="5"/>
  <c r="H30" i="5"/>
  <c r="G30" i="5"/>
  <c r="F30" i="5"/>
  <c r="E30" i="5"/>
  <c r="J29" i="5"/>
  <c r="I29" i="5"/>
  <c r="H29" i="5"/>
  <c r="G29" i="5"/>
  <c r="F29" i="5"/>
  <c r="E29" i="5"/>
  <c r="K29" i="5" s="1"/>
  <c r="I27" i="5"/>
  <c r="H27" i="5"/>
  <c r="G27" i="5"/>
  <c r="F27" i="5"/>
  <c r="E27" i="5"/>
  <c r="J26" i="5"/>
  <c r="I26" i="5"/>
  <c r="H26" i="5"/>
  <c r="G26" i="5"/>
  <c r="F26" i="5"/>
  <c r="E26" i="5"/>
  <c r="I24" i="5"/>
  <c r="H24" i="5"/>
  <c r="H36" i="5" s="1"/>
  <c r="G24" i="5"/>
  <c r="F24" i="5"/>
  <c r="E24" i="5"/>
  <c r="K23" i="5"/>
  <c r="J23" i="5"/>
  <c r="I23" i="5"/>
  <c r="H23" i="5"/>
  <c r="H35" i="5" s="1"/>
  <c r="G23" i="5"/>
  <c r="F23" i="5"/>
  <c r="E23" i="5"/>
  <c r="E35" i="5" s="1"/>
  <c r="D15" i="5"/>
  <c r="D14" i="5"/>
  <c r="J13" i="5"/>
  <c r="H13" i="5"/>
  <c r="C31" i="5" s="1"/>
  <c r="F13" i="5"/>
  <c r="D13" i="5"/>
  <c r="C25" i="5" s="1"/>
  <c r="J12" i="5"/>
  <c r="H12" i="5"/>
  <c r="C28" i="5" s="1"/>
  <c r="F12" i="5"/>
  <c r="D12" i="5"/>
  <c r="C22" i="5" s="1"/>
  <c r="D8" i="5"/>
  <c r="D7" i="5"/>
  <c r="D6" i="5"/>
  <c r="D5" i="5"/>
  <c r="D4" i="5"/>
  <c r="D3" i="5"/>
  <c r="I33" i="4"/>
  <c r="H33" i="4"/>
  <c r="G33" i="4"/>
  <c r="F33" i="4"/>
  <c r="E33" i="4"/>
  <c r="K33" i="4" s="1"/>
  <c r="J32" i="4"/>
  <c r="I32" i="4"/>
  <c r="H32" i="4"/>
  <c r="G32" i="4"/>
  <c r="F32" i="4"/>
  <c r="E32" i="4"/>
  <c r="K32" i="4" s="1"/>
  <c r="I30" i="4"/>
  <c r="H30" i="4"/>
  <c r="G30" i="4"/>
  <c r="F30" i="4"/>
  <c r="E30" i="4"/>
  <c r="J29" i="4"/>
  <c r="J35" i="4" s="1"/>
  <c r="I29" i="4"/>
  <c r="H29" i="4"/>
  <c r="G29" i="4"/>
  <c r="F29" i="4"/>
  <c r="E29" i="4"/>
  <c r="I27" i="4"/>
  <c r="H27" i="4"/>
  <c r="G27" i="4"/>
  <c r="F27" i="4"/>
  <c r="E27" i="4"/>
  <c r="K27" i="4" s="1"/>
  <c r="J26" i="4"/>
  <c r="I26" i="4"/>
  <c r="H26" i="4"/>
  <c r="G26" i="4"/>
  <c r="F26" i="4"/>
  <c r="E26" i="4"/>
  <c r="C25" i="4"/>
  <c r="I24" i="4"/>
  <c r="H24" i="4"/>
  <c r="H36" i="4" s="1"/>
  <c r="G24" i="4"/>
  <c r="F24" i="4"/>
  <c r="E24" i="4"/>
  <c r="J23" i="4"/>
  <c r="I23" i="4"/>
  <c r="I35" i="4" s="1"/>
  <c r="H23" i="4"/>
  <c r="G23" i="4"/>
  <c r="F23" i="4"/>
  <c r="E23" i="4"/>
  <c r="C22" i="4"/>
  <c r="D15" i="4"/>
  <c r="D14" i="4"/>
  <c r="J13" i="4"/>
  <c r="H13" i="4"/>
  <c r="C31" i="4" s="1"/>
  <c r="F13" i="4"/>
  <c r="D13" i="4"/>
  <c r="J12" i="4"/>
  <c r="H12" i="4"/>
  <c r="C28" i="4" s="1"/>
  <c r="F12" i="4"/>
  <c r="D12" i="4"/>
  <c r="D8" i="4"/>
  <c r="D7" i="4"/>
  <c r="D6" i="4"/>
  <c r="D5" i="4"/>
  <c r="D4" i="4"/>
  <c r="D3" i="4"/>
  <c r="F35" i="3"/>
  <c r="I33" i="3"/>
  <c r="H33" i="3"/>
  <c r="G33" i="3"/>
  <c r="F33" i="3"/>
  <c r="E33" i="3"/>
  <c r="J32" i="3"/>
  <c r="I32" i="3"/>
  <c r="H32" i="3"/>
  <c r="G32" i="3"/>
  <c r="F32" i="3"/>
  <c r="E32" i="3"/>
  <c r="I30" i="3"/>
  <c r="H30" i="3"/>
  <c r="G30" i="3"/>
  <c r="F30" i="3"/>
  <c r="E30" i="3"/>
  <c r="J29" i="3"/>
  <c r="I29" i="3"/>
  <c r="H29" i="3"/>
  <c r="G29" i="3"/>
  <c r="F29" i="3"/>
  <c r="E29" i="3"/>
  <c r="I27" i="3"/>
  <c r="H27" i="3"/>
  <c r="G27" i="3"/>
  <c r="F27" i="3"/>
  <c r="E27" i="3"/>
  <c r="K27" i="3" s="1"/>
  <c r="J26" i="3"/>
  <c r="I26" i="3"/>
  <c r="H26" i="3"/>
  <c r="G26" i="3"/>
  <c r="F26" i="3"/>
  <c r="E26" i="3"/>
  <c r="I24" i="3"/>
  <c r="H24" i="3"/>
  <c r="G24" i="3"/>
  <c r="F24" i="3"/>
  <c r="E24" i="3"/>
  <c r="K24" i="3" s="1"/>
  <c r="J23" i="3"/>
  <c r="I23" i="3"/>
  <c r="K23" i="3" s="1"/>
  <c r="H23" i="3"/>
  <c r="G23" i="3"/>
  <c r="F23" i="3"/>
  <c r="E23" i="3"/>
  <c r="D15" i="3"/>
  <c r="D14" i="3"/>
  <c r="J13" i="3"/>
  <c r="H13" i="3"/>
  <c r="C31" i="3" s="1"/>
  <c r="F13" i="3"/>
  <c r="D13" i="3"/>
  <c r="C25" i="3" s="1"/>
  <c r="J12" i="3"/>
  <c r="H12" i="3"/>
  <c r="C28" i="3" s="1"/>
  <c r="F12" i="3"/>
  <c r="D12" i="3"/>
  <c r="C22" i="3" s="1"/>
  <c r="D8" i="3"/>
  <c r="D7" i="3"/>
  <c r="D6" i="3"/>
  <c r="D5" i="3"/>
  <c r="D4" i="3"/>
  <c r="D3" i="3"/>
  <c r="AG38" i="1"/>
  <c r="AF38" i="1"/>
  <c r="AG37" i="1"/>
  <c r="AF37" i="1"/>
  <c r="AG36" i="1"/>
  <c r="AF36" i="1"/>
  <c r="AG35" i="1"/>
  <c r="AF35" i="1"/>
  <c r="AG34" i="1"/>
  <c r="AF34" i="1"/>
  <c r="AG33" i="1"/>
  <c r="AF33" i="1"/>
  <c r="AG32" i="1"/>
  <c r="AF32" i="1"/>
  <c r="AG31" i="1"/>
  <c r="AF31" i="1"/>
  <c r="AG30" i="1"/>
  <c r="AF30" i="1"/>
  <c r="AG29" i="1"/>
  <c r="AF29" i="1"/>
  <c r="AG28" i="1"/>
  <c r="AF28" i="1"/>
  <c r="AG27" i="1"/>
  <c r="AF27" i="1"/>
  <c r="AG26" i="1"/>
  <c r="AF26" i="1"/>
  <c r="AG25" i="1"/>
  <c r="AF25" i="1"/>
  <c r="AG24" i="1"/>
  <c r="AF24" i="1"/>
  <c r="AG23" i="1"/>
  <c r="AF23" i="1"/>
  <c r="AG22" i="1"/>
  <c r="AF22" i="1"/>
  <c r="AG21" i="1"/>
  <c r="AF21" i="1"/>
  <c r="AG20" i="1"/>
  <c r="AF20" i="1"/>
  <c r="AG19" i="1"/>
  <c r="AF19" i="1"/>
  <c r="AG18" i="1"/>
  <c r="AF18" i="1"/>
  <c r="AG17" i="1"/>
  <c r="AF17" i="1"/>
  <c r="AG16" i="1"/>
  <c r="AF16" i="1"/>
  <c r="AG15" i="1"/>
  <c r="AF15" i="1"/>
  <c r="AG14" i="1"/>
  <c r="AF14" i="1"/>
  <c r="AG13" i="1"/>
  <c r="AF13" i="1"/>
  <c r="AG12" i="1"/>
  <c r="AF12" i="1"/>
  <c r="AG11" i="1"/>
  <c r="AF11" i="1"/>
  <c r="AG10" i="1"/>
  <c r="AF10" i="1"/>
  <c r="AG9" i="1"/>
  <c r="AF9" i="1"/>
  <c r="AG8" i="1"/>
  <c r="AF8" i="1"/>
  <c r="AG7" i="1"/>
  <c r="AF7" i="1"/>
  <c r="AG6" i="1"/>
  <c r="AF6" i="1"/>
  <c r="AG5" i="1"/>
  <c r="AF5" i="1"/>
  <c r="AG4" i="1"/>
  <c r="AF4" i="1"/>
  <c r="AG3" i="1"/>
  <c r="AF3" i="1"/>
  <c r="AG2" i="1"/>
  <c r="AF2" i="1"/>
  <c r="H35" i="4" l="1"/>
  <c r="E35" i="17"/>
  <c r="I36" i="5"/>
  <c r="F35" i="17"/>
  <c r="K27" i="5"/>
  <c r="K24" i="8"/>
  <c r="F36" i="10"/>
  <c r="K30" i="14"/>
  <c r="K33" i="14"/>
  <c r="K26" i="16"/>
  <c r="I36" i="17"/>
  <c r="K32" i="19"/>
  <c r="K33" i="23"/>
  <c r="K26" i="24"/>
  <c r="K26" i="26"/>
  <c r="K30" i="28"/>
  <c r="K33" i="28"/>
  <c r="K23" i="4"/>
  <c r="K26" i="3"/>
  <c r="F35" i="4"/>
  <c r="E36" i="5"/>
  <c r="G36" i="5"/>
  <c r="K26" i="6"/>
  <c r="E35" i="7"/>
  <c r="F36" i="8"/>
  <c r="G36" i="10"/>
  <c r="I35" i="11"/>
  <c r="K30" i="11"/>
  <c r="F35" i="12"/>
  <c r="I36" i="13"/>
  <c r="F36" i="14"/>
  <c r="I35" i="15"/>
  <c r="K33" i="15"/>
  <c r="H36" i="17"/>
  <c r="G35" i="19"/>
  <c r="G36" i="20"/>
  <c r="H35" i="21"/>
  <c r="K29" i="22"/>
  <c r="K29" i="24"/>
  <c r="I36" i="27"/>
  <c r="H35" i="29"/>
  <c r="I36" i="30"/>
  <c r="J35" i="31"/>
  <c r="E36" i="31"/>
  <c r="G35" i="32"/>
  <c r="G36" i="34"/>
  <c r="I35" i="35"/>
  <c r="K29" i="36"/>
  <c r="K32" i="36"/>
  <c r="J35" i="3"/>
  <c r="K33" i="3"/>
  <c r="K26" i="4"/>
  <c r="F36" i="5"/>
  <c r="H35" i="6"/>
  <c r="F35" i="7"/>
  <c r="K29" i="7"/>
  <c r="G36" i="8"/>
  <c r="H35" i="9"/>
  <c r="I35" i="9"/>
  <c r="J35" i="11"/>
  <c r="K32" i="12"/>
  <c r="G36" i="14"/>
  <c r="E36" i="15"/>
  <c r="K26" i="15"/>
  <c r="K32" i="17"/>
  <c r="K24" i="18"/>
  <c r="H36" i="20"/>
  <c r="G36" i="23"/>
  <c r="K23" i="27"/>
  <c r="F36" i="28"/>
  <c r="J35" i="29"/>
  <c r="K24" i="30"/>
  <c r="F36" i="31"/>
  <c r="H35" i="32"/>
  <c r="K26" i="33"/>
  <c r="K29" i="33"/>
  <c r="H36" i="34"/>
  <c r="K33" i="35"/>
  <c r="F35" i="36"/>
  <c r="K26" i="36"/>
  <c r="J35" i="21"/>
  <c r="K32" i="22"/>
  <c r="H36" i="23"/>
  <c r="J35" i="26"/>
  <c r="K33" i="26"/>
  <c r="H36" i="28"/>
  <c r="K30" i="29"/>
  <c r="K26" i="30"/>
  <c r="K29" i="30"/>
  <c r="K24" i="31"/>
  <c r="I36" i="34"/>
  <c r="I36" i="23"/>
  <c r="K27" i="35"/>
  <c r="E36" i="29"/>
  <c r="G35" i="33"/>
  <c r="K30" i="4"/>
  <c r="K32" i="5"/>
  <c r="I36" i="8"/>
  <c r="K24" i="9"/>
  <c r="K23" i="10"/>
  <c r="K26" i="10"/>
  <c r="I36" i="14"/>
  <c r="J35" i="16"/>
  <c r="K30" i="16"/>
  <c r="G36" i="18"/>
  <c r="K36" i="18" s="1"/>
  <c r="J35" i="19"/>
  <c r="F35" i="20"/>
  <c r="K32" i="20"/>
  <c r="F36" i="21"/>
  <c r="I35" i="22"/>
  <c r="K24" i="23"/>
  <c r="K29" i="23"/>
  <c r="K30" i="24"/>
  <c r="K26" i="25"/>
  <c r="F36" i="26"/>
  <c r="H35" i="27"/>
  <c r="K29" i="27"/>
  <c r="I36" i="28"/>
  <c r="K24" i="29"/>
  <c r="K27" i="29"/>
  <c r="G35" i="30"/>
  <c r="K24" i="32"/>
  <c r="K27" i="32"/>
  <c r="H35" i="33"/>
  <c r="E35" i="34"/>
  <c r="K29" i="34"/>
  <c r="F36" i="35"/>
  <c r="K36" i="35" s="1"/>
  <c r="K24" i="11"/>
  <c r="K26" i="17"/>
  <c r="E35" i="18"/>
  <c r="E36" i="19"/>
  <c r="K30" i="21"/>
  <c r="I35" i="27"/>
  <c r="G36" i="29"/>
  <c r="H36" i="29"/>
  <c r="H35" i="30"/>
  <c r="I36" i="31"/>
  <c r="K30" i="32"/>
  <c r="F35" i="13"/>
  <c r="I36" i="3"/>
  <c r="G36" i="6"/>
  <c r="J35" i="7"/>
  <c r="K26" i="7"/>
  <c r="K23" i="8"/>
  <c r="K32" i="8"/>
  <c r="G35" i="10"/>
  <c r="K29" i="11"/>
  <c r="F36" i="12"/>
  <c r="K33" i="13"/>
  <c r="F35" i="14"/>
  <c r="K24" i="15"/>
  <c r="I36" i="15"/>
  <c r="F36" i="16"/>
  <c r="I35" i="17"/>
  <c r="F36" i="19"/>
  <c r="G35" i="20"/>
  <c r="H36" i="21"/>
  <c r="K30" i="22"/>
  <c r="K33" i="22"/>
  <c r="F35" i="23"/>
  <c r="F36" i="24"/>
  <c r="H36" i="26"/>
  <c r="J35" i="27"/>
  <c r="K33" i="27"/>
  <c r="K23" i="28"/>
  <c r="K29" i="28"/>
  <c r="I35" i="30"/>
  <c r="K26" i="31"/>
  <c r="K32" i="31"/>
  <c r="G36" i="32"/>
  <c r="J35" i="33"/>
  <c r="K33" i="33"/>
  <c r="G35" i="34"/>
  <c r="H36" i="35"/>
  <c r="K23" i="36"/>
  <c r="K33" i="36"/>
  <c r="G36" i="11"/>
  <c r="H36" i="3"/>
  <c r="E35" i="3"/>
  <c r="G36" i="4"/>
  <c r="H36" i="6"/>
  <c r="K24" i="7"/>
  <c r="G35" i="8"/>
  <c r="K27" i="9"/>
  <c r="K33" i="9"/>
  <c r="H35" i="10"/>
  <c r="G36" i="12"/>
  <c r="K30" i="12"/>
  <c r="J35" i="13"/>
  <c r="G35" i="14"/>
  <c r="K23" i="15"/>
  <c r="F35" i="15"/>
  <c r="G36" i="16"/>
  <c r="K27" i="16"/>
  <c r="J35" i="17"/>
  <c r="K30" i="17"/>
  <c r="H35" i="18"/>
  <c r="K32" i="18"/>
  <c r="K33" i="19"/>
  <c r="H35" i="20"/>
  <c r="I36" i="21"/>
  <c r="E36" i="21"/>
  <c r="K36" i="21" s="1"/>
  <c r="F36" i="22"/>
  <c r="G35" i="23"/>
  <c r="G36" i="24"/>
  <c r="I36" i="26"/>
  <c r="E36" i="27"/>
  <c r="K30" i="27"/>
  <c r="J35" i="30"/>
  <c r="F35" i="31"/>
  <c r="H36" i="32"/>
  <c r="K23" i="34"/>
  <c r="I36" i="35"/>
  <c r="K32" i="35"/>
  <c r="K27" i="36"/>
  <c r="H36" i="8"/>
  <c r="K24" i="10"/>
  <c r="H35" i="22"/>
  <c r="K35" i="22" s="1"/>
  <c r="K29" i="6"/>
  <c r="E35" i="9"/>
  <c r="J35" i="10"/>
  <c r="K27" i="13"/>
  <c r="K32" i="15"/>
  <c r="H36" i="16"/>
  <c r="K23" i="17"/>
  <c r="K32" i="21"/>
  <c r="H35" i="23"/>
  <c r="K29" i="29"/>
  <c r="K32" i="29"/>
  <c r="K27" i="30"/>
  <c r="K30" i="30"/>
  <c r="G36" i="15"/>
  <c r="K32" i="3"/>
  <c r="I36" i="4"/>
  <c r="I35" i="5"/>
  <c r="F35" i="6"/>
  <c r="K26" i="9"/>
  <c r="E36" i="10"/>
  <c r="K36" i="10" s="1"/>
  <c r="G35" i="11"/>
  <c r="I35" i="14"/>
  <c r="G35" i="15"/>
  <c r="K32" i="16"/>
  <c r="K29" i="21"/>
  <c r="G36" i="22"/>
  <c r="K36" i="22" s="1"/>
  <c r="I36" i="24"/>
  <c r="K23" i="26"/>
  <c r="E35" i="26"/>
  <c r="K32" i="26"/>
  <c r="G36" i="27"/>
  <c r="K27" i="27"/>
  <c r="H35" i="28"/>
  <c r="I35" i="28"/>
  <c r="F35" i="29"/>
  <c r="F36" i="30"/>
  <c r="E35" i="32"/>
  <c r="K32" i="32"/>
  <c r="G36" i="33"/>
  <c r="J35" i="34"/>
  <c r="J35" i="9"/>
  <c r="I35" i="16"/>
  <c r="K29" i="3"/>
  <c r="K29" i="4"/>
  <c r="K26" i="5"/>
  <c r="G35" i="6"/>
  <c r="K30" i="7"/>
  <c r="F35" i="9"/>
  <c r="K29" i="12"/>
  <c r="J35" i="14"/>
  <c r="K29" i="15"/>
  <c r="K24" i="17"/>
  <c r="G36" i="17"/>
  <c r="K27" i="18"/>
  <c r="E35" i="19"/>
  <c r="K35" i="19" s="1"/>
  <c r="K29" i="19"/>
  <c r="K24" i="20"/>
  <c r="E35" i="24"/>
  <c r="E36" i="25"/>
  <c r="K30" i="25"/>
  <c r="K33" i="25"/>
  <c r="H36" i="27"/>
  <c r="J35" i="28"/>
  <c r="G35" i="29"/>
  <c r="K26" i="32"/>
  <c r="K30" i="33"/>
  <c r="K24" i="34"/>
  <c r="K30" i="34"/>
  <c r="G35" i="3"/>
  <c r="H35" i="3"/>
  <c r="I35" i="3"/>
  <c r="K30" i="3"/>
  <c r="K33" i="5"/>
  <c r="K24" i="6"/>
  <c r="E36" i="6"/>
  <c r="K32" i="7"/>
  <c r="F35" i="10"/>
  <c r="K27" i="10"/>
  <c r="K30" i="10"/>
  <c r="E36" i="11"/>
  <c r="I35" i="12"/>
  <c r="K29" i="13"/>
  <c r="K32" i="13"/>
  <c r="H36" i="15"/>
  <c r="K27" i="15"/>
  <c r="K30" i="20"/>
  <c r="K33" i="21"/>
  <c r="K32" i="27"/>
  <c r="K36" i="34"/>
  <c r="I35" i="7"/>
  <c r="K35" i="7" s="1"/>
  <c r="K29" i="10"/>
  <c r="H35" i="13"/>
  <c r="E36" i="14"/>
  <c r="K29" i="16"/>
  <c r="K27" i="17"/>
  <c r="K29" i="18"/>
  <c r="K26" i="20"/>
  <c r="I35" i="29"/>
  <c r="K26" i="29"/>
  <c r="K35" i="36"/>
  <c r="G35" i="16"/>
  <c r="K36" i="17"/>
  <c r="J35" i="24"/>
  <c r="K35" i="24" s="1"/>
  <c r="E36" i="26"/>
  <c r="K27" i="26"/>
  <c r="E35" i="33"/>
  <c r="K35" i="33" s="1"/>
  <c r="E36" i="7"/>
  <c r="K29" i="8"/>
  <c r="E35" i="8"/>
  <c r="E35" i="10"/>
  <c r="I36" i="11"/>
  <c r="K33" i="11"/>
  <c r="E35" i="15"/>
  <c r="F35" i="18"/>
  <c r="K35" i="18" s="1"/>
  <c r="F35" i="30"/>
  <c r="E36" i="3"/>
  <c r="H36" i="11"/>
  <c r="E35" i="4"/>
  <c r="E35" i="6"/>
  <c r="I35" i="8"/>
  <c r="F35" i="8"/>
  <c r="I36" i="9"/>
  <c r="K36" i="9" s="1"/>
  <c r="K24" i="13"/>
  <c r="K26" i="13"/>
  <c r="H36" i="14"/>
  <c r="K27" i="14"/>
  <c r="H35" i="16"/>
  <c r="E35" i="23"/>
  <c r="K35" i="23" s="1"/>
  <c r="K23" i="23"/>
  <c r="E36" i="24"/>
  <c r="K26" i="28"/>
  <c r="H36" i="31"/>
  <c r="K36" i="31" s="1"/>
  <c r="K33" i="32"/>
  <c r="E36" i="12"/>
  <c r="K36" i="12" s="1"/>
  <c r="K36" i="13"/>
  <c r="J35" i="5"/>
  <c r="K35" i="5" s="1"/>
  <c r="E35" i="11"/>
  <c r="K23" i="11"/>
  <c r="H36" i="12"/>
  <c r="J35" i="15"/>
  <c r="E36" i="4"/>
  <c r="G35" i="4"/>
  <c r="F36" i="4"/>
  <c r="K33" i="7"/>
  <c r="J35" i="8"/>
  <c r="G35" i="9"/>
  <c r="K35" i="9" s="1"/>
  <c r="F35" i="11"/>
  <c r="K26" i="11"/>
  <c r="I36" i="12"/>
  <c r="K33" i="12"/>
  <c r="G36" i="13"/>
  <c r="K30" i="13"/>
  <c r="K24" i="14"/>
  <c r="H35" i="15"/>
  <c r="K33" i="17"/>
  <c r="K24" i="24"/>
  <c r="K32" i="25"/>
  <c r="K36" i="27"/>
  <c r="F35" i="28"/>
  <c r="K35" i="28" s="1"/>
  <c r="K24" i="5"/>
  <c r="I36" i="7"/>
  <c r="E36" i="8"/>
  <c r="K36" i="8" s="1"/>
  <c r="E35" i="14"/>
  <c r="E36" i="16"/>
  <c r="K24" i="16"/>
  <c r="H35" i="17"/>
  <c r="K35" i="17" s="1"/>
  <c r="K26" i="21"/>
  <c r="E35" i="21"/>
  <c r="K35" i="21" s="1"/>
  <c r="K29" i="26"/>
  <c r="E35" i="31"/>
  <c r="K35" i="35"/>
  <c r="K32" i="6"/>
  <c r="K29" i="9"/>
  <c r="K23" i="12"/>
  <c r="E35" i="12"/>
  <c r="K26" i="12"/>
  <c r="K33" i="20"/>
  <c r="I35" i="25"/>
  <c r="K35" i="26"/>
  <c r="K35" i="29"/>
  <c r="K36" i="30"/>
  <c r="K36" i="33"/>
  <c r="K36" i="36"/>
  <c r="F36" i="3"/>
  <c r="K30" i="5"/>
  <c r="J35" i="6"/>
  <c r="G35" i="17"/>
  <c r="K30" i="23"/>
  <c r="K32" i="24"/>
  <c r="K36" i="25"/>
  <c r="G35" i="31"/>
  <c r="K24" i="4"/>
  <c r="K23" i="6"/>
  <c r="K23" i="7"/>
  <c r="K23" i="9"/>
  <c r="K23" i="13"/>
  <c r="F36" i="15"/>
  <c r="K36" i="15" s="1"/>
  <c r="K30" i="15"/>
  <c r="K36" i="23"/>
  <c r="K35" i="27"/>
  <c r="K33" i="30"/>
  <c r="G36" i="3"/>
  <c r="H35" i="14"/>
  <c r="K29" i="14"/>
  <c r="E35" i="16"/>
  <c r="K33" i="18"/>
  <c r="I36" i="20"/>
  <c r="K36" i="20" s="1"/>
  <c r="F36" i="23"/>
  <c r="H35" i="26"/>
  <c r="E36" i="28"/>
  <c r="K24" i="28"/>
  <c r="I35" i="31"/>
  <c r="K23" i="31"/>
  <c r="F35" i="32"/>
  <c r="K35" i="32" s="1"/>
  <c r="F36" i="17"/>
  <c r="E35" i="25"/>
  <c r="F36" i="29"/>
  <c r="K36" i="29" s="1"/>
  <c r="H35" i="34"/>
  <c r="K27" i="19"/>
  <c r="K27" i="31"/>
  <c r="K24" i="33"/>
  <c r="K24" i="22"/>
  <c r="G36" i="30"/>
  <c r="E36" i="32"/>
  <c r="K36" i="32" s="1"/>
  <c r="K24" i="35"/>
  <c r="K23" i="18"/>
  <c r="K27" i="22"/>
  <c r="K23" i="30"/>
  <c r="K27" i="34"/>
  <c r="K24" i="36"/>
  <c r="K23" i="19"/>
  <c r="K27" i="23"/>
  <c r="K24" i="25"/>
  <c r="K27" i="11"/>
  <c r="K26" i="18"/>
  <c r="K27" i="24"/>
  <c r="K23" i="32"/>
  <c r="E35" i="20"/>
  <c r="K35" i="20" s="1"/>
  <c r="K23" i="21"/>
  <c r="K27" i="25"/>
  <c r="K24" i="27"/>
  <c r="K23" i="33"/>
  <c r="K23" i="22"/>
  <c r="K23" i="35"/>
  <c r="K36" i="5" l="1"/>
  <c r="K36" i="6"/>
  <c r="K36" i="28"/>
  <c r="K36" i="24"/>
  <c r="K36" i="16"/>
  <c r="K35" i="14"/>
  <c r="K35" i="3"/>
  <c r="K35" i="34"/>
  <c r="K35" i="30"/>
  <c r="K36" i="26"/>
  <c r="K35" i="13"/>
  <c r="K36" i="11"/>
  <c r="K36" i="19"/>
  <c r="K35" i="11"/>
  <c r="K35" i="15"/>
  <c r="K36" i="4"/>
  <c r="K36" i="3"/>
  <c r="K35" i="12"/>
  <c r="K35" i="6"/>
  <c r="K35" i="10"/>
  <c r="K35" i="4"/>
  <c r="K35" i="8"/>
  <c r="K35" i="31"/>
  <c r="K36" i="14"/>
  <c r="K35" i="16"/>
  <c r="K35" i="25"/>
  <c r="K36" i="7"/>
</calcChain>
</file>

<file path=xl/sharedStrings.xml><?xml version="1.0" encoding="utf-8"?>
<sst xmlns="http://schemas.openxmlformats.org/spreadsheetml/2006/main" count="1952" uniqueCount="398">
  <si>
    <t>№</t>
    <phoneticPr fontId="6"/>
  </si>
  <si>
    <t>登録番号</t>
    <rPh sb="0" eb="2">
      <t>トウロク</t>
    </rPh>
    <rPh sb="2" eb="4">
      <t>バンゴウ</t>
    </rPh>
    <phoneticPr fontId="5"/>
  </si>
  <si>
    <t>登録年月日</t>
    <rPh sb="0" eb="2">
      <t>トウロク</t>
    </rPh>
    <rPh sb="2" eb="5">
      <t>ネンガッピ</t>
    </rPh>
    <phoneticPr fontId="5"/>
  </si>
  <si>
    <t>更新登録年月日</t>
    <rPh sb="0" eb="2">
      <t>コウシン</t>
    </rPh>
    <rPh sb="2" eb="4">
      <t>トウロク</t>
    </rPh>
    <rPh sb="4" eb="7">
      <t>ネンガッピ</t>
    </rPh>
    <phoneticPr fontId="5"/>
  </si>
  <si>
    <t>有効期間</t>
    <rPh sb="0" eb="2">
      <t>ユウコウ</t>
    </rPh>
    <rPh sb="2" eb="4">
      <t>キカン</t>
    </rPh>
    <phoneticPr fontId="5"/>
  </si>
  <si>
    <t>名称</t>
    <rPh sb="0" eb="2">
      <t>メイショウ</t>
    </rPh>
    <phoneticPr fontId="6"/>
  </si>
  <si>
    <t>代表者の氏名</t>
    <rPh sb="0" eb="3">
      <t>ダイヒョウシャ</t>
    </rPh>
    <rPh sb="4" eb="6">
      <t>シメイ</t>
    </rPh>
    <phoneticPr fontId="5"/>
  </si>
  <si>
    <t>郵便番号</t>
    <phoneticPr fontId="5"/>
  </si>
  <si>
    <t>住所</t>
    <rPh sb="0" eb="2">
      <t>ジュウショ</t>
    </rPh>
    <phoneticPr fontId="6"/>
  </si>
  <si>
    <t>事務所の名称</t>
    <rPh sb="0" eb="3">
      <t>ジムショ</t>
    </rPh>
    <rPh sb="4" eb="6">
      <t>メイショウ</t>
    </rPh>
    <phoneticPr fontId="5"/>
  </si>
  <si>
    <t>事務所の位置</t>
    <rPh sb="0" eb="3">
      <t>ジムショ</t>
    </rPh>
    <rPh sb="4" eb="6">
      <t>イチ</t>
    </rPh>
    <phoneticPr fontId="5"/>
  </si>
  <si>
    <t>事務所の名称</t>
    <phoneticPr fontId="6"/>
  </si>
  <si>
    <t>事務所の位置</t>
    <phoneticPr fontId="6"/>
  </si>
  <si>
    <t>路線又は運送の区域</t>
    <rPh sb="0" eb="2">
      <t>ロセン</t>
    </rPh>
    <rPh sb="2" eb="3">
      <t>マタ</t>
    </rPh>
    <rPh sb="4" eb="6">
      <t>ウンソウ</t>
    </rPh>
    <rPh sb="7" eb="9">
      <t>クイキ</t>
    </rPh>
    <phoneticPr fontId="5"/>
  </si>
  <si>
    <t>運送する旅客の範囲</t>
    <rPh sb="0" eb="2">
      <t>ウンソウ</t>
    </rPh>
    <rPh sb="4" eb="6">
      <t>リョカク</t>
    </rPh>
    <rPh sb="7" eb="9">
      <t>ハンイ</t>
    </rPh>
    <phoneticPr fontId="5"/>
  </si>
  <si>
    <t>事業者協力型有償運送の事業者名称</t>
    <rPh sb="0" eb="3">
      <t>ジギョウシャ</t>
    </rPh>
    <rPh sb="3" eb="6">
      <t>キョウリョクガタ</t>
    </rPh>
    <rPh sb="6" eb="8">
      <t>ユウショウ</t>
    </rPh>
    <rPh sb="8" eb="10">
      <t>ウンソウ</t>
    </rPh>
    <rPh sb="11" eb="14">
      <t>ジギョウシャ</t>
    </rPh>
    <rPh sb="14" eb="16">
      <t>メイショウ</t>
    </rPh>
    <phoneticPr fontId="5"/>
  </si>
  <si>
    <t>事業者協力型有償運送の事業者住所</t>
    <rPh sb="14" eb="16">
      <t>ジュウショ</t>
    </rPh>
    <phoneticPr fontId="5"/>
  </si>
  <si>
    <t>寝台車
(軽自動車)　　　　　　　　</t>
    <rPh sb="0" eb="1">
      <t>ネ</t>
    </rPh>
    <rPh sb="1" eb="2">
      <t>ダイ</t>
    </rPh>
    <rPh sb="2" eb="3">
      <t>クルマ</t>
    </rPh>
    <phoneticPr fontId="9"/>
  </si>
  <si>
    <t>車いす車
(軽自動車)</t>
    <rPh sb="0" eb="1">
      <t>クルマ</t>
    </rPh>
    <rPh sb="3" eb="4">
      <t>シャ</t>
    </rPh>
    <rPh sb="6" eb="10">
      <t>ケイジドウシャ</t>
    </rPh>
    <phoneticPr fontId="9"/>
  </si>
  <si>
    <t>兼用車
(軽自動車)</t>
    <rPh sb="0" eb="2">
      <t>ケンヨウ</t>
    </rPh>
    <rPh sb="2" eb="3">
      <t>シャ</t>
    </rPh>
    <phoneticPr fontId="9"/>
  </si>
  <si>
    <t>回転ｼｰﾄ車
(軽自動車)</t>
    <rPh sb="0" eb="2">
      <t>カイテン</t>
    </rPh>
    <rPh sb="5" eb="6">
      <t>シャ</t>
    </rPh>
    <phoneticPr fontId="9"/>
  </si>
  <si>
    <t>セダン等
(軽自動車)</t>
    <rPh sb="3" eb="4">
      <t>トウ</t>
    </rPh>
    <phoneticPr fontId="9"/>
  </si>
  <si>
    <t>バス</t>
    <phoneticPr fontId="9"/>
  </si>
  <si>
    <t>計</t>
    <rPh sb="0" eb="1">
      <t>ケイ</t>
    </rPh>
    <phoneticPr fontId="9"/>
  </si>
  <si>
    <t>北室市福第1号</t>
  </si>
  <si>
    <t>豊浦町</t>
  </si>
  <si>
    <t>村井　洋一</t>
  </si>
  <si>
    <t>〒049-5492</t>
    <phoneticPr fontId="5"/>
  </si>
  <si>
    <t>虻田郡豊浦町字船見町１０番地</t>
  </si>
  <si>
    <t>豊浦町総合保健福祉施設</t>
  </si>
  <si>
    <t>虻田郡豊浦町字東雲町１６番地１</t>
  </si>
  <si>
    <t>豊浦町内の利用者宅から町内及び洞爺湖町並びに伊達市の医療機関</t>
  </si>
  <si>
    <t>イロハ</t>
    <phoneticPr fontId="6"/>
  </si>
  <si>
    <t>市町村</t>
    <rPh sb="0" eb="3">
      <t>シチョウソン</t>
    </rPh>
    <phoneticPr fontId="6"/>
  </si>
  <si>
    <t>北室市福第5号</t>
  </si>
  <si>
    <t>安平町</t>
    <rPh sb="0" eb="3">
      <t>アビラチョウ</t>
    </rPh>
    <phoneticPr fontId="1"/>
  </si>
  <si>
    <t>及川　秀一郎</t>
  </si>
  <si>
    <t>〒059-1595</t>
    <phoneticPr fontId="5"/>
  </si>
  <si>
    <t>勇払郡安平町早来大町９５番地</t>
  </si>
  <si>
    <t>安平町役場総合庁舎</t>
    <rPh sb="5" eb="7">
      <t>ソウゴウ</t>
    </rPh>
    <phoneticPr fontId="6"/>
  </si>
  <si>
    <t>安平町</t>
    <rPh sb="0" eb="3">
      <t>アビラチョウ</t>
    </rPh>
    <phoneticPr fontId="6"/>
  </si>
  <si>
    <t>イ　　　ニホヘト</t>
    <phoneticPr fontId="6"/>
  </si>
  <si>
    <t>NPO</t>
    <phoneticPr fontId="6"/>
  </si>
  <si>
    <t>北室市福第7号</t>
  </si>
  <si>
    <t>日高町</t>
    <rPh sb="0" eb="3">
      <t>ヒダカチョウ</t>
    </rPh>
    <phoneticPr fontId="1"/>
  </si>
  <si>
    <t>大鷹　千秋</t>
    <phoneticPr fontId="6"/>
  </si>
  <si>
    <t>〒059-2121</t>
    <phoneticPr fontId="5"/>
  </si>
  <si>
    <t>沙流郡日高町門別本町２１０番地の１</t>
    <phoneticPr fontId="6"/>
  </si>
  <si>
    <t>社会福祉法人　日高町社会福祉協議会</t>
    <phoneticPr fontId="6"/>
  </si>
  <si>
    <t>沙流郡日高町門別本町１２番地２７</t>
  </si>
  <si>
    <t>沙流郡日高町</t>
  </si>
  <si>
    <t>【新】イロハニ</t>
    <rPh sb="1" eb="2">
      <t>シン</t>
    </rPh>
    <phoneticPr fontId="6"/>
  </si>
  <si>
    <t>一社一財</t>
    <rPh sb="0" eb="1">
      <t>イッ</t>
    </rPh>
    <rPh sb="1" eb="2">
      <t>シャ</t>
    </rPh>
    <rPh sb="2" eb="3">
      <t>イチ</t>
    </rPh>
    <rPh sb="3" eb="4">
      <t>ザイ</t>
    </rPh>
    <phoneticPr fontId="6"/>
  </si>
  <si>
    <t>北室福第2号</t>
    <rPh sb="0" eb="1">
      <t>ホク</t>
    </rPh>
    <rPh sb="1" eb="2">
      <t>ムロ</t>
    </rPh>
    <rPh sb="2" eb="3">
      <t>フク</t>
    </rPh>
    <rPh sb="3" eb="4">
      <t>ダイ</t>
    </rPh>
    <rPh sb="5" eb="6">
      <t>ゴウ</t>
    </rPh>
    <phoneticPr fontId="1"/>
  </si>
  <si>
    <t>特定非営利活動法人　なずな</t>
    <phoneticPr fontId="6"/>
  </si>
  <si>
    <t>甘　朝美</t>
  </si>
  <si>
    <t>〒056-0018</t>
    <phoneticPr fontId="5"/>
  </si>
  <si>
    <t>日高郡新ひだか町静内吉野町２丁目２番２６号</t>
    <phoneticPr fontId="6"/>
  </si>
  <si>
    <t>特定非営利活動法人　なずな</t>
  </si>
  <si>
    <t>日高郡新ひだか町静内吉野町２丁目２番２６号</t>
  </si>
  <si>
    <t>新ひだか町</t>
    <rPh sb="0" eb="1">
      <t>シン</t>
    </rPh>
    <rPh sb="4" eb="5">
      <t>チョウ</t>
    </rPh>
    <phoneticPr fontId="1"/>
  </si>
  <si>
    <t>イロ　 ニホ　 ト</t>
    <phoneticPr fontId="6"/>
  </si>
  <si>
    <t>NPO</t>
  </si>
  <si>
    <t>認可地縁団体</t>
    <rPh sb="0" eb="2">
      <t>ニンカ</t>
    </rPh>
    <rPh sb="2" eb="4">
      <t>チエン</t>
    </rPh>
    <rPh sb="4" eb="6">
      <t>ダンタイ</t>
    </rPh>
    <phoneticPr fontId="6"/>
  </si>
  <si>
    <t>北室福第3号</t>
    <rPh sb="0" eb="1">
      <t>ホク</t>
    </rPh>
    <rPh sb="1" eb="2">
      <t>ムロ</t>
    </rPh>
    <rPh sb="2" eb="3">
      <t>フク</t>
    </rPh>
    <rPh sb="3" eb="4">
      <t>ダイ</t>
    </rPh>
    <rPh sb="5" eb="6">
      <t>ゴウ</t>
    </rPh>
    <phoneticPr fontId="1"/>
  </si>
  <si>
    <t>特定非営利活動法人　ふれあい</t>
  </si>
  <si>
    <t>越前谷　あつ子</t>
    <rPh sb="6" eb="7">
      <t>コ</t>
    </rPh>
    <phoneticPr fontId="6"/>
  </si>
  <si>
    <t>〒053-0805</t>
    <phoneticPr fontId="5"/>
  </si>
  <si>
    <t>苫小牧市新富町２丁目６番２１号</t>
  </si>
  <si>
    <t>NPOふれあい</t>
  </si>
  <si>
    <t>苫小牧市</t>
    <rPh sb="0" eb="4">
      <t>トマコマイシ</t>
    </rPh>
    <phoneticPr fontId="1"/>
  </si>
  <si>
    <t>【新】イロニホ</t>
    <rPh sb="1" eb="2">
      <t>シン</t>
    </rPh>
    <phoneticPr fontId="6"/>
  </si>
  <si>
    <t>農協</t>
    <rPh sb="0" eb="2">
      <t>ノウキョウ</t>
    </rPh>
    <phoneticPr fontId="6"/>
  </si>
  <si>
    <t>北室福第4号</t>
  </si>
  <si>
    <t>社会福祉法人　様似町社会福祉協議会</t>
  </si>
  <si>
    <t>小野　哲弘</t>
  </si>
  <si>
    <t>〒058-0014</t>
    <phoneticPr fontId="5"/>
  </si>
  <si>
    <t>様似郡様似町大通２丁目９８番地２</t>
    <phoneticPr fontId="6"/>
  </si>
  <si>
    <t>様似郡様似町大通２丁目９８番地２</t>
  </si>
  <si>
    <t>様似町</t>
    <rPh sb="0" eb="3">
      <t>サマニチョウ</t>
    </rPh>
    <phoneticPr fontId="1"/>
  </si>
  <si>
    <t>イニホト</t>
    <phoneticPr fontId="6"/>
  </si>
  <si>
    <t>社福法人</t>
    <rPh sb="0" eb="2">
      <t>シャフク</t>
    </rPh>
    <rPh sb="2" eb="4">
      <t>ホウジン</t>
    </rPh>
    <phoneticPr fontId="6"/>
  </si>
  <si>
    <t>生協</t>
    <rPh sb="0" eb="2">
      <t>セイキョウ</t>
    </rPh>
    <phoneticPr fontId="6"/>
  </si>
  <si>
    <t>北室福第5号</t>
  </si>
  <si>
    <t>社会福祉法人　ビバランド</t>
  </si>
  <si>
    <t>森岡　公彦</t>
    <rPh sb="0" eb="2">
      <t>モリオカ</t>
    </rPh>
    <rPh sb="3" eb="5">
      <t>キミヒコ</t>
    </rPh>
    <phoneticPr fontId="6"/>
  </si>
  <si>
    <t>〒053-0052</t>
    <phoneticPr fontId="5"/>
  </si>
  <si>
    <t>苫小牧市新開町４丁目７番１６号</t>
  </si>
  <si>
    <t>社会福祉法人　ビバランド　障がい者生活介護事業所ふれあいらんど</t>
    <phoneticPr fontId="6"/>
  </si>
  <si>
    <t>【新】ハ</t>
    <rPh sb="1" eb="2">
      <t>シン</t>
    </rPh>
    <phoneticPr fontId="6"/>
  </si>
  <si>
    <t>医療法人</t>
    <rPh sb="0" eb="2">
      <t>イリョウ</t>
    </rPh>
    <rPh sb="2" eb="4">
      <t>ホウジン</t>
    </rPh>
    <phoneticPr fontId="6"/>
  </si>
  <si>
    <t>北室福第7号</t>
  </si>
  <si>
    <t>社会福祉法人　幸清会</t>
  </si>
  <si>
    <t>大久保　幸積</t>
  </si>
  <si>
    <t>〒049-5821</t>
    <phoneticPr fontId="5"/>
  </si>
  <si>
    <t>虻田郡洞爺湖町成香１０９番地１８</t>
    <rPh sb="7" eb="9">
      <t>ナリキョウ</t>
    </rPh>
    <rPh sb="12" eb="14">
      <t>バンチ</t>
    </rPh>
    <phoneticPr fontId="6"/>
  </si>
  <si>
    <t>ヘルパーステーション湘南</t>
  </si>
  <si>
    <t>伊達市松ヶ枝町１５７番１１０</t>
  </si>
  <si>
    <t>伊達市(大滝区は除く）</t>
  </si>
  <si>
    <t>イロ</t>
  </si>
  <si>
    <t>北室福第8号</t>
  </si>
  <si>
    <t>医療法人社団　静和会石井病院</t>
    <phoneticPr fontId="6"/>
  </si>
  <si>
    <t>石井　幸司</t>
  </si>
  <si>
    <t>〒056-0022</t>
    <phoneticPr fontId="5"/>
  </si>
  <si>
    <t>日高郡新ひだか町静内高砂町３丁目３番１号</t>
  </si>
  <si>
    <t>医療法人社団　静和会石井病院　指定訪問介護事務所</t>
    <phoneticPr fontId="6"/>
  </si>
  <si>
    <t>新ひだか町（旧静内町の区域に限る）</t>
    <phoneticPr fontId="6"/>
  </si>
  <si>
    <t>イロハニ</t>
  </si>
  <si>
    <t>商工会議所</t>
    <rPh sb="0" eb="5">
      <t>ショウコウカイギショ</t>
    </rPh>
    <phoneticPr fontId="6"/>
  </si>
  <si>
    <t>北室福第9号</t>
  </si>
  <si>
    <t>特定非営利活動法人　宅老所日和</t>
    <phoneticPr fontId="6"/>
  </si>
  <si>
    <t>三上　裕紀子</t>
  </si>
  <si>
    <t>〒054-0004</t>
    <phoneticPr fontId="5"/>
  </si>
  <si>
    <t>勇払郡むかわ町田浦２５１番地６</t>
  </si>
  <si>
    <t>宅老所日和</t>
    <phoneticPr fontId="6"/>
  </si>
  <si>
    <t>むかわ町</t>
    <rPh sb="3" eb="4">
      <t>マチ</t>
    </rPh>
    <phoneticPr fontId="1"/>
  </si>
  <si>
    <t>イロニホト</t>
    <phoneticPr fontId="6"/>
  </si>
  <si>
    <t>商工会</t>
    <rPh sb="0" eb="3">
      <t>ショウコウカイ</t>
    </rPh>
    <phoneticPr fontId="6"/>
  </si>
  <si>
    <t>北室福第10号</t>
  </si>
  <si>
    <t>社会福祉法人　浦河町社会福祉協議会</t>
  </si>
  <si>
    <t>松本　正美</t>
    <rPh sb="0" eb="2">
      <t>マツモト</t>
    </rPh>
    <rPh sb="3" eb="5">
      <t>マサミ</t>
    </rPh>
    <phoneticPr fontId="6"/>
  </si>
  <si>
    <t>〒057-0024</t>
    <phoneticPr fontId="5"/>
  </si>
  <si>
    <t>浦河郡浦河町築地１丁目４番３８号</t>
  </si>
  <si>
    <t>浦河郡浦河町</t>
    <rPh sb="0" eb="3">
      <t>ウラカワグン</t>
    </rPh>
    <rPh sb="3" eb="6">
      <t>ウラカワチョウ</t>
    </rPh>
    <phoneticPr fontId="1"/>
  </si>
  <si>
    <t>イロハニホト</t>
    <phoneticPr fontId="6"/>
  </si>
  <si>
    <t>権能なき社団</t>
    <rPh sb="0" eb="2">
      <t>ケンノウ</t>
    </rPh>
    <rPh sb="1" eb="2">
      <t>ノウ</t>
    </rPh>
    <rPh sb="4" eb="6">
      <t>シャダン</t>
    </rPh>
    <phoneticPr fontId="6"/>
  </si>
  <si>
    <t>北室福第16号</t>
  </si>
  <si>
    <t>特定非営利活動法人　サポート室蘭</t>
  </si>
  <si>
    <t>佐藤　ゆき子</t>
  </si>
  <si>
    <t>〒050-0085</t>
    <phoneticPr fontId="5"/>
  </si>
  <si>
    <t>室蘭市輪西町２丁目１２－１５</t>
  </si>
  <si>
    <t>サポート室蘭</t>
  </si>
  <si>
    <t>室蘭市、登別市</t>
    <rPh sb="0" eb="3">
      <t>ムロランシ</t>
    </rPh>
    <rPh sb="4" eb="7">
      <t>ノボリベツシ</t>
    </rPh>
    <phoneticPr fontId="1"/>
  </si>
  <si>
    <t>ニト</t>
    <phoneticPr fontId="6"/>
  </si>
  <si>
    <t>北室福第18号</t>
  </si>
  <si>
    <t>社会福祉法人　えりも町社会福祉協議会</t>
    <rPh sb="0" eb="2">
      <t>シャカイ</t>
    </rPh>
    <rPh sb="2" eb="4">
      <t>フクシ</t>
    </rPh>
    <rPh sb="4" eb="6">
      <t>ホウジン</t>
    </rPh>
    <rPh sb="10" eb="11">
      <t>マチ</t>
    </rPh>
    <rPh sb="11" eb="13">
      <t>シャカイ</t>
    </rPh>
    <rPh sb="13" eb="15">
      <t>フクシ</t>
    </rPh>
    <rPh sb="15" eb="18">
      <t>キョウギカイ</t>
    </rPh>
    <phoneticPr fontId="1"/>
  </si>
  <si>
    <t>加藤　弘子</t>
    <rPh sb="0" eb="2">
      <t>カトウ</t>
    </rPh>
    <rPh sb="3" eb="5">
      <t>ヒロコ</t>
    </rPh>
    <phoneticPr fontId="6"/>
  </si>
  <si>
    <t>〒058-0204</t>
    <phoneticPr fontId="5"/>
  </si>
  <si>
    <t>幌泉郡えりも町字本町２０６</t>
  </si>
  <si>
    <t>えりも町</t>
    <phoneticPr fontId="6"/>
  </si>
  <si>
    <t>イロニ</t>
  </si>
  <si>
    <t>北室福第20号</t>
  </si>
  <si>
    <t>特定非営利活動法人　いぶりたすけ愛</t>
    <rPh sb="0" eb="9">
      <t>トクテイヒエイリカツドウホウジン</t>
    </rPh>
    <rPh sb="16" eb="17">
      <t>アイ</t>
    </rPh>
    <phoneticPr fontId="1"/>
  </si>
  <si>
    <t>星川　光子</t>
  </si>
  <si>
    <t>〒059-0023</t>
    <phoneticPr fontId="5"/>
  </si>
  <si>
    <t>登別市桜木町３丁目２番地１０</t>
    <rPh sb="11" eb="12">
      <t>チ</t>
    </rPh>
    <phoneticPr fontId="6"/>
  </si>
  <si>
    <t>特定非営利活動法人　いぶりたすけ愛</t>
  </si>
  <si>
    <t>登別市、室蘭市</t>
    <rPh sb="0" eb="3">
      <t>ノボリベツシ</t>
    </rPh>
    <rPh sb="4" eb="7">
      <t>ムロランシ</t>
    </rPh>
    <phoneticPr fontId="1"/>
  </si>
  <si>
    <t>イロハニホ</t>
    <phoneticPr fontId="6"/>
  </si>
  <si>
    <t>北室福第25号</t>
  </si>
  <si>
    <t>社会福祉法人　愛光会</t>
  </si>
  <si>
    <t>星野　明治</t>
  </si>
  <si>
    <t>〒055-0007</t>
    <phoneticPr fontId="5"/>
  </si>
  <si>
    <t>沙流郡日高町富川西１２丁目６７番地４</t>
  </si>
  <si>
    <t>社会福祉法人　愛光会　在宅ケアセンター</t>
    <rPh sb="11" eb="13">
      <t>ザイタク</t>
    </rPh>
    <phoneticPr fontId="6"/>
  </si>
  <si>
    <t>沙流郡日高町富川南１丁目６－２６</t>
  </si>
  <si>
    <t>社会福祉法人愛光会住宅ケアセンター門別出張所</t>
  </si>
  <si>
    <t>沙流郡日高町門別本町１２－２７</t>
  </si>
  <si>
    <t>社会福祉法人愛光会門別愛光園</t>
  </si>
  <si>
    <t>沙流郡日高町富川西１２丁目６７－４</t>
  </si>
  <si>
    <t>日高町（うち平成１８年３月１日に合併となった旧門別町の区域に限る）</t>
  </si>
  <si>
    <t>イロハニヘト</t>
    <phoneticPr fontId="6"/>
  </si>
  <si>
    <t>北室福第25号-2</t>
    <phoneticPr fontId="6"/>
  </si>
  <si>
    <t>社会福祉法人　愛光会　在宅ケアセンター門別出張所</t>
    <rPh sb="11" eb="12">
      <t>ザイ</t>
    </rPh>
    <phoneticPr fontId="6"/>
  </si>
  <si>
    <t>北室福第25号-3</t>
    <phoneticPr fontId="6"/>
  </si>
  <si>
    <t>社会福祉法人　愛光会　門別愛光園</t>
    <phoneticPr fontId="6"/>
  </si>
  <si>
    <t>北室福第26号</t>
  </si>
  <si>
    <t>医療法人社団　養生館</t>
  </si>
  <si>
    <t>舘山　美樹</t>
  </si>
  <si>
    <t>〒053-0803</t>
    <phoneticPr fontId="5"/>
  </si>
  <si>
    <t>苫小牧市矢代町２丁目１８番１号</t>
  </si>
  <si>
    <t>日翔訪問介護センター</t>
  </si>
  <si>
    <t>苫小牧市青葉町２丁目９番１９号</t>
  </si>
  <si>
    <t>苫小牧市</t>
  </si>
  <si>
    <t>ロ、ニ</t>
    <phoneticPr fontId="6"/>
  </si>
  <si>
    <t>北室福第31号</t>
  </si>
  <si>
    <t>社会福祉法人　伊達コスモス２１</t>
  </si>
  <si>
    <t>大垣　勲男</t>
  </si>
  <si>
    <t>〒052-0012</t>
    <phoneticPr fontId="5"/>
  </si>
  <si>
    <t>伊達市松ヶ枝町５９番地４</t>
  </si>
  <si>
    <t>社会福祉法人　伊達コスモス２１</t>
    <phoneticPr fontId="6"/>
  </si>
  <si>
    <t>伊達市（うち平成１８年３月１日に合併となった旧大滝村の区域に限る）</t>
  </si>
  <si>
    <t>イニ</t>
  </si>
  <si>
    <t>北室福第32号</t>
  </si>
  <si>
    <t>社会福祉法人　白老町社会福祉協議会</t>
  </si>
  <si>
    <t>山﨑　宏一</t>
  </si>
  <si>
    <t>〒059-0904</t>
    <phoneticPr fontId="5"/>
  </si>
  <si>
    <t>白老郡白老町東町４丁目６番７号</t>
  </si>
  <si>
    <t>白老町</t>
    <rPh sb="0" eb="3">
      <t>シラオイチョウ</t>
    </rPh>
    <phoneticPr fontId="1"/>
  </si>
  <si>
    <t>イロハニホヘト</t>
    <phoneticPr fontId="6"/>
  </si>
  <si>
    <t>北室福第34号</t>
  </si>
  <si>
    <t>社会福祉法人　洞爺湖町社会福祉協議会</t>
  </si>
  <si>
    <t>八木橋　隆</t>
    <rPh sb="0" eb="3">
      <t>ヤギバシ</t>
    </rPh>
    <rPh sb="4" eb="5">
      <t>タカシ</t>
    </rPh>
    <phoneticPr fontId="6"/>
  </si>
  <si>
    <t>〒049-5604</t>
    <phoneticPr fontId="5"/>
  </si>
  <si>
    <t>虻田郡洞爺湖町栄町６３番地１</t>
  </si>
  <si>
    <t>社会福祉法人　洞爺湖町社会福祉協議会（本所）</t>
  </si>
  <si>
    <t>社会福祉法人　洞爺湖町社会福祉協議会（洞爺支所）</t>
  </si>
  <si>
    <t>虻田郡洞爺湖町洞爺町１３２－２</t>
  </si>
  <si>
    <t>虻田郡洞爺湖町</t>
    <rPh sb="0" eb="7">
      <t>アブタグントウヤコチョウ</t>
    </rPh>
    <phoneticPr fontId="1"/>
  </si>
  <si>
    <t>イロニホヘ</t>
    <phoneticPr fontId="6"/>
  </si>
  <si>
    <t>北室福第34号-2</t>
    <phoneticPr fontId="6"/>
  </si>
  <si>
    <t>北室福第35号</t>
  </si>
  <si>
    <t>特定非営利活動法人　アルソーレ</t>
  </si>
  <si>
    <t>上野　真紀子</t>
  </si>
  <si>
    <t>〒053-0006</t>
    <phoneticPr fontId="5"/>
  </si>
  <si>
    <t>苫小牧市新中野町３丁目６番５号</t>
  </si>
  <si>
    <t>ヘルパーステーションきぼう</t>
  </si>
  <si>
    <t>北室福第37号</t>
  </si>
  <si>
    <t>社会福祉法人　愛誠会</t>
  </si>
  <si>
    <t>横山　宏史</t>
  </si>
  <si>
    <t>〒054-0211</t>
  </si>
  <si>
    <t>勇払郡むかわ町穂別８０番地１０</t>
  </si>
  <si>
    <t>愛誠会福祉有償運送事業所</t>
  </si>
  <si>
    <t>勇払郡むかわ町</t>
    <rPh sb="0" eb="3">
      <t>ユウフツグン</t>
    </rPh>
    <rPh sb="6" eb="7">
      <t>マチ</t>
    </rPh>
    <phoneticPr fontId="1"/>
  </si>
  <si>
    <t>イハニホ</t>
    <phoneticPr fontId="6"/>
  </si>
  <si>
    <t>北室福第39号</t>
  </si>
  <si>
    <t>医療法人社団　千寿会</t>
  </si>
  <si>
    <t>千葉　泰二</t>
  </si>
  <si>
    <t>〒059-0493</t>
  </si>
  <si>
    <t>登別市中登別町２４番地</t>
  </si>
  <si>
    <t>ヘルパーステーションあおい（愛桜）</t>
  </si>
  <si>
    <t>登別市登別東町３丁目１番地２</t>
  </si>
  <si>
    <t>イロニホ</t>
    <phoneticPr fontId="6"/>
  </si>
  <si>
    <t>北室福第40号</t>
  </si>
  <si>
    <t>特定非営利活動法人　御用聞きわらび</t>
    <phoneticPr fontId="6"/>
  </si>
  <si>
    <t>星　貢</t>
  </si>
  <si>
    <t>〒059-0904</t>
  </si>
  <si>
    <t>白老郡白老町東町３丁目１０番８号</t>
    <rPh sb="13" eb="14">
      <t>バン</t>
    </rPh>
    <rPh sb="15" eb="16">
      <t>ゴウ</t>
    </rPh>
    <phoneticPr fontId="6"/>
  </si>
  <si>
    <t>特定非営利活動法人　御用聞きわらび</t>
  </si>
  <si>
    <t>白老郡白老町</t>
  </si>
  <si>
    <t>北室福第41号</t>
  </si>
  <si>
    <t>社会福祉法人　陽樹会</t>
    <phoneticPr fontId="6"/>
  </si>
  <si>
    <t>上村　恭一</t>
  </si>
  <si>
    <t>〒053-0005</t>
  </si>
  <si>
    <t>苫小牧市元中野町２丁目３番地</t>
  </si>
  <si>
    <t>指定訪問介護事業所　陽だまりの樹</t>
    <phoneticPr fontId="6"/>
  </si>
  <si>
    <t>苫小牧市元中野町２丁目３番３号</t>
  </si>
  <si>
    <t>ロハ</t>
  </si>
  <si>
    <t>北室福第45号</t>
  </si>
  <si>
    <t>特定非営利活動法人　みんなの家ひだまり</t>
    <phoneticPr fontId="6"/>
  </si>
  <si>
    <t>杉田　友子</t>
  </si>
  <si>
    <t>〒059-2403</t>
  </si>
  <si>
    <t>新冠郡新冠町字北星町８－５０</t>
  </si>
  <si>
    <t>日高郡新ひだか町、新冠郡新冠町</t>
    <rPh sb="0" eb="3">
      <t>ヒダカグン</t>
    </rPh>
    <phoneticPr fontId="6"/>
  </si>
  <si>
    <t>北室福第46号</t>
  </si>
  <si>
    <t>特定非営利活動法人　ぬくもりの里ふれあい</t>
    <rPh sb="0" eb="9">
      <t>トクテイヒエイリカツドウホウジン</t>
    </rPh>
    <phoneticPr fontId="6"/>
  </si>
  <si>
    <t>坂下　都紀子</t>
  </si>
  <si>
    <t>〒059-0923</t>
  </si>
  <si>
    <t>白老郡白老町字北吉原１３３－２</t>
    <phoneticPr fontId="6"/>
  </si>
  <si>
    <t>ぬくもりの里ふれあい</t>
  </si>
  <si>
    <t>白老郡白老町字北吉原１３３－２</t>
  </si>
  <si>
    <t>北室福第47号</t>
  </si>
  <si>
    <t>社会福祉法人　北海道社会事業協会</t>
  </si>
  <si>
    <t>吉田　秀明</t>
  </si>
  <si>
    <t>〒060-8643</t>
  </si>
  <si>
    <t>札幌市中央区北４条西６丁目１番１</t>
  </si>
  <si>
    <t>ヘルパーステーションあじさい</t>
    <phoneticPr fontId="6"/>
  </si>
  <si>
    <t>虻田郡洞爺湖町高砂町１２６番地</t>
    <phoneticPr fontId="6"/>
  </si>
  <si>
    <t>虻田郡洞爺湖町</t>
  </si>
  <si>
    <t>イニホ</t>
    <phoneticPr fontId="6"/>
  </si>
  <si>
    <t>北室福第48号</t>
  </si>
  <si>
    <t>社会福祉法人　浦河べてるの家</t>
  </si>
  <si>
    <t>佐々木　実</t>
  </si>
  <si>
    <t>〒057-0024</t>
  </si>
  <si>
    <t>浦河郡浦河町築地３丁目５番２１号</t>
  </si>
  <si>
    <t>浦河郡浦河町</t>
  </si>
  <si>
    <t>北室福第49号</t>
  </si>
  <si>
    <t>医療法人　徳洲会</t>
    <rPh sb="5" eb="7">
      <t>トクシュウ</t>
    </rPh>
    <phoneticPr fontId="6"/>
  </si>
  <si>
    <t>東上　震一</t>
    <rPh sb="0" eb="1">
      <t>ヒガシ</t>
    </rPh>
    <rPh sb="1" eb="2">
      <t>ウエ</t>
    </rPh>
    <rPh sb="3" eb="4">
      <t>シン</t>
    </rPh>
    <rPh sb="4" eb="5">
      <t>イチ</t>
    </rPh>
    <phoneticPr fontId="6"/>
  </si>
  <si>
    <t>〒530-0001</t>
  </si>
  <si>
    <t>大阪府大阪市北区梅田一丁目３番１－１２００号</t>
  </si>
  <si>
    <t>日高徳洲会訪問介護センター</t>
  </si>
  <si>
    <t>日高郡新ひだか町静内こうせい町１丁目１０番２７号</t>
  </si>
  <si>
    <t>日高郡新ひだか町、新冠郡新冠町</t>
    <rPh sb="0" eb="3">
      <t>ヒダカグン</t>
    </rPh>
    <rPh sb="9" eb="12">
      <t>ニイカップグン</t>
    </rPh>
    <phoneticPr fontId="6"/>
  </si>
  <si>
    <t>北室福第50号</t>
  </si>
  <si>
    <t>社会福祉法人　優和会</t>
  </si>
  <si>
    <t>倉地　美直</t>
  </si>
  <si>
    <t>〒059-0922</t>
  </si>
  <si>
    <t>白老郡白老町字萩野３１０番地１１２</t>
  </si>
  <si>
    <t>北室福第51号</t>
    <rPh sb="0" eb="1">
      <t>キタ</t>
    </rPh>
    <rPh sb="1" eb="2">
      <t>ムロ</t>
    </rPh>
    <rPh sb="2" eb="3">
      <t>フク</t>
    </rPh>
    <rPh sb="3" eb="4">
      <t>ダイ</t>
    </rPh>
    <rPh sb="6" eb="7">
      <t>ゴウ</t>
    </rPh>
    <phoneticPr fontId="6"/>
  </si>
  <si>
    <t>-</t>
    <phoneticPr fontId="6"/>
  </si>
  <si>
    <t>一般社団法人　福祉輸送サービス</t>
    <rPh sb="0" eb="2">
      <t>イッパン</t>
    </rPh>
    <rPh sb="2" eb="6">
      <t>シャダンホウジン</t>
    </rPh>
    <rPh sb="7" eb="9">
      <t>フクシ</t>
    </rPh>
    <rPh sb="9" eb="11">
      <t>ユソウ</t>
    </rPh>
    <phoneticPr fontId="6"/>
  </si>
  <si>
    <t>米坂　康宏</t>
    <rPh sb="0" eb="2">
      <t>ヨネサカ</t>
    </rPh>
    <rPh sb="3" eb="4">
      <t>ヤス</t>
    </rPh>
    <rPh sb="4" eb="5">
      <t>ヒロシ</t>
    </rPh>
    <phoneticPr fontId="6"/>
  </si>
  <si>
    <t>〒050-0072</t>
    <phoneticPr fontId="6"/>
  </si>
  <si>
    <t>室蘭市高砂町５丁目２２－１６</t>
    <rPh sb="0" eb="3">
      <t>ムロランシ</t>
    </rPh>
    <rPh sb="3" eb="6">
      <t>タカサゴチョウ</t>
    </rPh>
    <rPh sb="7" eb="9">
      <t>チョウメ</t>
    </rPh>
    <phoneticPr fontId="6"/>
  </si>
  <si>
    <t>室蘭市</t>
    <rPh sb="0" eb="3">
      <t>ムロランシ</t>
    </rPh>
    <phoneticPr fontId="6"/>
  </si>
  <si>
    <t>イホ</t>
    <phoneticPr fontId="6"/>
  </si>
  <si>
    <t>北室福第52号</t>
    <rPh sb="0" eb="1">
      <t>キタ</t>
    </rPh>
    <rPh sb="1" eb="2">
      <t>ムロ</t>
    </rPh>
    <rPh sb="2" eb="3">
      <t>フク</t>
    </rPh>
    <rPh sb="3" eb="4">
      <t>ダイ</t>
    </rPh>
    <rPh sb="6" eb="7">
      <t>ゴウ</t>
    </rPh>
    <phoneticPr fontId="6"/>
  </si>
  <si>
    <t>医療法人社団　新ひだか町社会福祉協議会</t>
    <rPh sb="0" eb="2">
      <t>イリョウ</t>
    </rPh>
    <rPh sb="2" eb="4">
      <t>ホウジン</t>
    </rPh>
    <rPh sb="4" eb="6">
      <t>シャダン</t>
    </rPh>
    <rPh sb="7" eb="8">
      <t>シン</t>
    </rPh>
    <rPh sb="11" eb="19">
      <t>チョウシャカイフクシキョウギカイ</t>
    </rPh>
    <phoneticPr fontId="6"/>
  </si>
  <si>
    <t>木村　春夫</t>
    <rPh sb="0" eb="2">
      <t>キムラ</t>
    </rPh>
    <rPh sb="3" eb="5">
      <t>ハルオ</t>
    </rPh>
    <phoneticPr fontId="6"/>
  </si>
  <si>
    <t>〒056-0019</t>
    <phoneticPr fontId="6"/>
  </si>
  <si>
    <t>日高郡新ひだか町静内青柳町２丁目３番１号</t>
    <rPh sb="0" eb="3">
      <t>ヒダカグン</t>
    </rPh>
    <rPh sb="3" eb="4">
      <t>シン</t>
    </rPh>
    <rPh sb="7" eb="8">
      <t>チョウ</t>
    </rPh>
    <rPh sb="8" eb="10">
      <t>シズナイ</t>
    </rPh>
    <rPh sb="10" eb="12">
      <t>アオヤナギ</t>
    </rPh>
    <rPh sb="12" eb="13">
      <t>マチ</t>
    </rPh>
    <rPh sb="14" eb="16">
      <t>チョウメ</t>
    </rPh>
    <rPh sb="17" eb="18">
      <t>バン</t>
    </rPh>
    <rPh sb="19" eb="20">
      <t>ゴウ</t>
    </rPh>
    <phoneticPr fontId="6"/>
  </si>
  <si>
    <t>社会福祉法人　新ひだか町社会福祉協議会</t>
    <rPh sb="0" eb="6">
      <t>シャカイフクシホウジン</t>
    </rPh>
    <rPh sb="7" eb="8">
      <t>シン</t>
    </rPh>
    <rPh sb="11" eb="19">
      <t>チョウシャカイフクシキョウギカイ</t>
    </rPh>
    <phoneticPr fontId="6"/>
  </si>
  <si>
    <t>新ひだか町（旧静内地区）</t>
    <rPh sb="0" eb="1">
      <t>シン</t>
    </rPh>
    <rPh sb="4" eb="5">
      <t>チョウ</t>
    </rPh>
    <rPh sb="6" eb="7">
      <t>キュウ</t>
    </rPh>
    <rPh sb="7" eb="9">
      <t>シズナイ</t>
    </rPh>
    <rPh sb="9" eb="11">
      <t>チク</t>
    </rPh>
    <phoneticPr fontId="6"/>
  </si>
  <si>
    <t>イニホヘ</t>
    <phoneticPr fontId="6"/>
  </si>
  <si>
    <t>北室福第53号</t>
    <rPh sb="0" eb="1">
      <t>キタ</t>
    </rPh>
    <rPh sb="1" eb="2">
      <t>ムロ</t>
    </rPh>
    <rPh sb="2" eb="3">
      <t>フク</t>
    </rPh>
    <rPh sb="3" eb="4">
      <t>ダイ</t>
    </rPh>
    <rPh sb="6" eb="7">
      <t>ゴウ</t>
    </rPh>
    <phoneticPr fontId="6"/>
  </si>
  <si>
    <t>社会福祉法人　陵雲厚生会</t>
    <rPh sb="0" eb="6">
      <t>シャカイフクシホウジン</t>
    </rPh>
    <rPh sb="7" eb="8">
      <t>ミササギ</t>
    </rPh>
    <rPh sb="8" eb="9">
      <t>クモ</t>
    </rPh>
    <rPh sb="9" eb="11">
      <t>コウセイ</t>
    </rPh>
    <rPh sb="11" eb="12">
      <t>カイ</t>
    </rPh>
    <phoneticPr fontId="6"/>
  </si>
  <si>
    <t>菊地　純司</t>
    <rPh sb="0" eb="2">
      <t>キクチ</t>
    </rPh>
    <rPh sb="3" eb="5">
      <t>ジュンジ</t>
    </rPh>
    <phoneticPr fontId="6"/>
  </si>
  <si>
    <t>〒052-0012</t>
    <phoneticPr fontId="6"/>
  </si>
  <si>
    <t>伊達市松ケ枝町１５４番地３０</t>
    <rPh sb="0" eb="3">
      <t>ダテシ</t>
    </rPh>
    <rPh sb="5" eb="6">
      <t>エダ</t>
    </rPh>
    <rPh sb="6" eb="7">
      <t>マチ</t>
    </rPh>
    <rPh sb="10" eb="12">
      <t>バンチ</t>
    </rPh>
    <phoneticPr fontId="6"/>
  </si>
  <si>
    <t>サポートセンターひまわり</t>
    <phoneticPr fontId="6"/>
  </si>
  <si>
    <t>伊達市松ケ枝町１５４番地３０</t>
    <phoneticPr fontId="6"/>
  </si>
  <si>
    <t>伊達市（大滝区含む）</t>
    <rPh sb="0" eb="3">
      <t>ダテシ</t>
    </rPh>
    <rPh sb="4" eb="7">
      <t>オオタキク</t>
    </rPh>
    <rPh sb="7" eb="8">
      <t>フク</t>
    </rPh>
    <phoneticPr fontId="6"/>
  </si>
  <si>
    <t>イニ</t>
    <phoneticPr fontId="6"/>
  </si>
  <si>
    <t>北室福第54号</t>
    <rPh sb="0" eb="1">
      <t>キタ</t>
    </rPh>
    <rPh sb="1" eb="2">
      <t>ムロ</t>
    </rPh>
    <rPh sb="2" eb="3">
      <t>フク</t>
    </rPh>
    <rPh sb="3" eb="4">
      <t>ダイ</t>
    </rPh>
    <rPh sb="6" eb="7">
      <t>ゴウ</t>
    </rPh>
    <phoneticPr fontId="6"/>
  </si>
  <si>
    <t>一般社団法人　JIMOTO-L</t>
    <rPh sb="0" eb="6">
      <t>イッパンシャダンホウジン</t>
    </rPh>
    <phoneticPr fontId="6"/>
  </si>
  <si>
    <t>宮崎　健司</t>
    <rPh sb="0" eb="2">
      <t>ミヤザキ</t>
    </rPh>
    <rPh sb="3" eb="5">
      <t>ケンジ</t>
    </rPh>
    <phoneticPr fontId="6"/>
  </si>
  <si>
    <t>〒054-0042</t>
    <phoneticPr fontId="6"/>
  </si>
  <si>
    <t>勇払郡むかわ町美幸１丁目８６番１</t>
    <rPh sb="0" eb="3">
      <t>ユウフツグン</t>
    </rPh>
    <rPh sb="6" eb="7">
      <t>チョウ</t>
    </rPh>
    <rPh sb="7" eb="9">
      <t>ミユキ</t>
    </rPh>
    <rPh sb="10" eb="12">
      <t>チョウメ</t>
    </rPh>
    <rPh sb="14" eb="15">
      <t>バン</t>
    </rPh>
    <phoneticPr fontId="6"/>
  </si>
  <si>
    <t>まちのケアリハステーション</t>
    <phoneticPr fontId="6"/>
  </si>
  <si>
    <t>むかわ町</t>
    <rPh sb="3" eb="4">
      <t>チョウ</t>
    </rPh>
    <phoneticPr fontId="6"/>
  </si>
  <si>
    <t>運送する旅客の範囲（福祉）</t>
  </si>
  <si>
    <t>新</t>
    <rPh sb="0" eb="1">
      <t>シン</t>
    </rPh>
    <phoneticPr fontId="6"/>
  </si>
  <si>
    <t>イ</t>
    <phoneticPr fontId="6"/>
  </si>
  <si>
    <r>
      <t>身体障害者福祉法第４条に規定する</t>
    </r>
    <r>
      <rPr>
        <sz val="11"/>
        <color rgb="FFFF0000"/>
        <rFont val="游ゴシック"/>
        <family val="3"/>
        <charset val="128"/>
        <scheme val="minor"/>
      </rPr>
      <t>身体障害者</t>
    </r>
    <rPh sb="0" eb="2">
      <t>シンタイ</t>
    </rPh>
    <rPh sb="2" eb="4">
      <t>ショウガイ</t>
    </rPh>
    <rPh sb="4" eb="5">
      <t>シャ</t>
    </rPh>
    <rPh sb="5" eb="7">
      <t>フクシ</t>
    </rPh>
    <rPh sb="7" eb="8">
      <t>ホウ</t>
    </rPh>
    <rPh sb="8" eb="9">
      <t>ダイ</t>
    </rPh>
    <rPh sb="10" eb="11">
      <t>ジョウ</t>
    </rPh>
    <rPh sb="12" eb="14">
      <t>キテイ</t>
    </rPh>
    <rPh sb="16" eb="18">
      <t>シンタイ</t>
    </rPh>
    <rPh sb="18" eb="20">
      <t>ショウガイ</t>
    </rPh>
    <rPh sb="20" eb="21">
      <t>シャ</t>
    </rPh>
    <phoneticPr fontId="6"/>
  </si>
  <si>
    <t>ロ</t>
    <phoneticPr fontId="6"/>
  </si>
  <si>
    <r>
      <t>精神保健及び精神障害者福祉に関する法律第５条に規定する</t>
    </r>
    <r>
      <rPr>
        <sz val="11"/>
        <color rgb="FFFF0000"/>
        <rFont val="游ゴシック"/>
        <family val="3"/>
        <charset val="128"/>
        <scheme val="minor"/>
      </rPr>
      <t>精神障害者</t>
    </r>
    <rPh sb="2" eb="4">
      <t>ホケン</t>
    </rPh>
    <rPh sb="4" eb="5">
      <t>オヨ</t>
    </rPh>
    <rPh sb="6" eb="8">
      <t>セイシン</t>
    </rPh>
    <rPh sb="10" eb="11">
      <t>シャ</t>
    </rPh>
    <rPh sb="11" eb="13">
      <t>フクシ</t>
    </rPh>
    <rPh sb="14" eb="15">
      <t>カン</t>
    </rPh>
    <rPh sb="17" eb="19">
      <t>ホウリツ</t>
    </rPh>
    <rPh sb="19" eb="20">
      <t>ダイ</t>
    </rPh>
    <rPh sb="21" eb="22">
      <t>ジョウ</t>
    </rPh>
    <rPh sb="23" eb="25">
      <t>キテイ</t>
    </rPh>
    <rPh sb="27" eb="29">
      <t>セイシン</t>
    </rPh>
    <rPh sb="29" eb="32">
      <t>ショウガイシャ</t>
    </rPh>
    <phoneticPr fontId="6"/>
  </si>
  <si>
    <t>ハ</t>
    <phoneticPr fontId="6"/>
  </si>
  <si>
    <r>
      <t>障害者の雇用の促進等に関する法律第２条第４号に規定する</t>
    </r>
    <r>
      <rPr>
        <sz val="11"/>
        <color rgb="FFFF0000"/>
        <rFont val="游ゴシック"/>
        <family val="3"/>
        <charset val="128"/>
        <scheme val="minor"/>
      </rPr>
      <t>知的障害者</t>
    </r>
    <rPh sb="0" eb="3">
      <t>ショウガイシャ</t>
    </rPh>
    <rPh sb="4" eb="6">
      <t>コヨウ</t>
    </rPh>
    <rPh sb="7" eb="9">
      <t>ソクシン</t>
    </rPh>
    <rPh sb="9" eb="10">
      <t>トウ</t>
    </rPh>
    <rPh sb="11" eb="12">
      <t>カン</t>
    </rPh>
    <rPh sb="14" eb="16">
      <t>ホウリツ</t>
    </rPh>
    <rPh sb="16" eb="17">
      <t>ダイ</t>
    </rPh>
    <rPh sb="18" eb="19">
      <t>ジョウ</t>
    </rPh>
    <rPh sb="19" eb="20">
      <t>ダイ</t>
    </rPh>
    <rPh sb="21" eb="22">
      <t>ゴウ</t>
    </rPh>
    <rPh sb="23" eb="25">
      <t>キテイ</t>
    </rPh>
    <rPh sb="27" eb="29">
      <t>チテキ</t>
    </rPh>
    <rPh sb="29" eb="31">
      <t>ショウガイ</t>
    </rPh>
    <rPh sb="31" eb="32">
      <t>シャ</t>
    </rPh>
    <phoneticPr fontId="6"/>
  </si>
  <si>
    <t>ニ</t>
    <phoneticPr fontId="6"/>
  </si>
  <si>
    <r>
      <t>介護保険法第十九条第一項に規定する</t>
    </r>
    <r>
      <rPr>
        <sz val="11"/>
        <color rgb="FFFF0000"/>
        <rFont val="ＭＳ Ｐゴシック"/>
        <family val="3"/>
        <charset val="128"/>
      </rPr>
      <t>要介護認定を受けている者</t>
    </r>
    <phoneticPr fontId="6"/>
  </si>
  <si>
    <t>ホ</t>
    <phoneticPr fontId="6"/>
  </si>
  <si>
    <r>
      <t>介護保険法第十九条第二項に規定する</t>
    </r>
    <r>
      <rPr>
        <sz val="11"/>
        <color rgb="FFFF0000"/>
        <rFont val="游ゴシック"/>
        <family val="3"/>
        <charset val="128"/>
        <scheme val="minor"/>
      </rPr>
      <t>要支援認定を受けている者</t>
    </r>
    <phoneticPr fontId="6"/>
  </si>
  <si>
    <t>ヘ</t>
    <phoneticPr fontId="6"/>
  </si>
  <si>
    <r>
      <t>介護保険施行規則第１４０条の６２の４第２号の</t>
    </r>
    <r>
      <rPr>
        <sz val="11"/>
        <color rgb="FFFF0000"/>
        <rFont val="游ゴシック"/>
        <family val="3"/>
        <charset val="128"/>
        <scheme val="minor"/>
      </rPr>
      <t>厚生労働大臣が定める基準に該当する者（基本チェックリスト該当者）</t>
    </r>
    <rPh sb="0" eb="2">
      <t>カイゴ</t>
    </rPh>
    <rPh sb="2" eb="4">
      <t>ホケン</t>
    </rPh>
    <rPh sb="4" eb="6">
      <t>セコウ</t>
    </rPh>
    <rPh sb="6" eb="8">
      <t>キソク</t>
    </rPh>
    <rPh sb="8" eb="9">
      <t>ダイ</t>
    </rPh>
    <rPh sb="12" eb="13">
      <t>ジョウ</t>
    </rPh>
    <rPh sb="18" eb="19">
      <t>ダイ</t>
    </rPh>
    <rPh sb="20" eb="21">
      <t>ゴウ</t>
    </rPh>
    <rPh sb="22" eb="24">
      <t>コウセイ</t>
    </rPh>
    <rPh sb="24" eb="26">
      <t>ロウドウ</t>
    </rPh>
    <rPh sb="26" eb="28">
      <t>ダイジン</t>
    </rPh>
    <rPh sb="29" eb="30">
      <t>サダ</t>
    </rPh>
    <rPh sb="32" eb="34">
      <t>キジュン</t>
    </rPh>
    <rPh sb="35" eb="37">
      <t>ガイトウ</t>
    </rPh>
    <rPh sb="39" eb="40">
      <t>モノ</t>
    </rPh>
    <rPh sb="41" eb="43">
      <t>キホン</t>
    </rPh>
    <rPh sb="50" eb="53">
      <t>ガイトウシャ</t>
    </rPh>
    <phoneticPr fontId="6"/>
  </si>
  <si>
    <t>ト</t>
    <phoneticPr fontId="6"/>
  </si>
  <si>
    <r>
      <t>その他肢体不自由、内部障害、知的障害、精神障害</t>
    </r>
    <r>
      <rPr>
        <sz val="11"/>
        <color rgb="FFFF0000"/>
        <rFont val="游ゴシック"/>
        <family val="3"/>
        <charset val="128"/>
        <scheme val="minor"/>
      </rPr>
      <t>その他の障害を有する者</t>
    </r>
    <phoneticPr fontId="6"/>
  </si>
  <si>
    <t>旧</t>
    <rPh sb="0" eb="1">
      <t>キュウ</t>
    </rPh>
    <phoneticPr fontId="6"/>
  </si>
  <si>
    <t>自家用有償旅客運送者登録簿</t>
    <rPh sb="0" eb="3">
      <t>ジカヨウ</t>
    </rPh>
    <rPh sb="3" eb="5">
      <t>ユウショウ</t>
    </rPh>
    <rPh sb="5" eb="7">
      <t>リョカク</t>
    </rPh>
    <rPh sb="7" eb="9">
      <t>ウンソウ</t>
    </rPh>
    <rPh sb="9" eb="10">
      <t>シャ</t>
    </rPh>
    <rPh sb="10" eb="13">
      <t>トウロクボ</t>
    </rPh>
    <phoneticPr fontId="6"/>
  </si>
  <si>
    <t>目次</t>
    <rPh sb="0" eb="2">
      <t>モクジ</t>
    </rPh>
    <phoneticPr fontId="6"/>
  </si>
  <si>
    <t>登録番号</t>
    <rPh sb="0" eb="1">
      <t>ノボル</t>
    </rPh>
    <rPh sb="1" eb="2">
      <t>ロク</t>
    </rPh>
    <rPh sb="2" eb="3">
      <t>バン</t>
    </rPh>
    <rPh sb="3" eb="4">
      <t>ゴウ</t>
    </rPh>
    <phoneticPr fontId="6"/>
  </si>
  <si>
    <t>北室市福第1号</t>
    <rPh sb="1" eb="2">
      <t>ムロ</t>
    </rPh>
    <phoneticPr fontId="6"/>
  </si>
  <si>
    <t>登録年月日</t>
    <rPh sb="0" eb="2">
      <t>トウロク</t>
    </rPh>
    <rPh sb="2" eb="5">
      <t>ネンガッピ</t>
    </rPh>
    <phoneticPr fontId="6"/>
  </si>
  <si>
    <t>更新登録年月日</t>
    <rPh sb="0" eb="2">
      <t>コウシン</t>
    </rPh>
    <rPh sb="2" eb="4">
      <t>トウロク</t>
    </rPh>
    <rPh sb="4" eb="7">
      <t>ネンガッピ</t>
    </rPh>
    <phoneticPr fontId="6"/>
  </si>
  <si>
    <t>有効期間</t>
    <rPh sb="0" eb="2">
      <t>ユウコウ</t>
    </rPh>
    <rPh sb="2" eb="4">
      <t>キカン</t>
    </rPh>
    <phoneticPr fontId="6"/>
  </si>
  <si>
    <t>名称</t>
    <rPh sb="0" eb="1">
      <t>ナ</t>
    </rPh>
    <rPh sb="1" eb="2">
      <t>ショウ</t>
    </rPh>
    <phoneticPr fontId="6"/>
  </si>
  <si>
    <t>代表者の氏名</t>
    <rPh sb="0" eb="3">
      <t>ダイヒョウシャ</t>
    </rPh>
    <rPh sb="4" eb="6">
      <t>シメイ</t>
    </rPh>
    <phoneticPr fontId="6"/>
  </si>
  <si>
    <t>住所</t>
    <rPh sb="0" eb="1">
      <t>ジュウ</t>
    </rPh>
    <rPh sb="1" eb="2">
      <t>ショ</t>
    </rPh>
    <phoneticPr fontId="6"/>
  </si>
  <si>
    <t>運送の種別</t>
    <rPh sb="0" eb="1">
      <t>ウン</t>
    </rPh>
    <rPh sb="1" eb="2">
      <t>ソウ</t>
    </rPh>
    <rPh sb="3" eb="4">
      <t>タネ</t>
    </rPh>
    <rPh sb="4" eb="5">
      <t>ベツ</t>
    </rPh>
    <phoneticPr fontId="6"/>
  </si>
  <si>
    <t>福祉有償運送</t>
    <rPh sb="0" eb="2">
      <t>フクシ</t>
    </rPh>
    <rPh sb="2" eb="4">
      <t>ユウショウ</t>
    </rPh>
    <rPh sb="4" eb="6">
      <t>ウンソウ</t>
    </rPh>
    <phoneticPr fontId="6"/>
  </si>
  <si>
    <t>○</t>
  </si>
  <si>
    <t>事務所の名称及び位置</t>
    <rPh sb="0" eb="3">
      <t>ジムショ</t>
    </rPh>
    <rPh sb="4" eb="6">
      <t>メイショウ</t>
    </rPh>
    <rPh sb="6" eb="7">
      <t>オヨ</t>
    </rPh>
    <rPh sb="8" eb="9">
      <t>クライ</t>
    </rPh>
    <rPh sb="9" eb="10">
      <t>オキ</t>
    </rPh>
    <phoneticPr fontId="6"/>
  </si>
  <si>
    <t>名　　　　称</t>
    <rPh sb="0" eb="1">
      <t>ナ</t>
    </rPh>
    <rPh sb="5" eb="6">
      <t>ショウ</t>
    </rPh>
    <phoneticPr fontId="6"/>
  </si>
  <si>
    <t>位　　　　　置</t>
    <rPh sb="0" eb="1">
      <t>クライ</t>
    </rPh>
    <rPh sb="6" eb="7">
      <t>オキ</t>
    </rPh>
    <phoneticPr fontId="6"/>
  </si>
  <si>
    <t>路線又は運送の区域</t>
    <rPh sb="0" eb="1">
      <t>ミチ</t>
    </rPh>
    <rPh sb="1" eb="2">
      <t>セン</t>
    </rPh>
    <rPh sb="2" eb="3">
      <t>マタ</t>
    </rPh>
    <rPh sb="4" eb="5">
      <t>ウン</t>
    </rPh>
    <rPh sb="5" eb="6">
      <t>ソウ</t>
    </rPh>
    <rPh sb="7" eb="8">
      <t>ク</t>
    </rPh>
    <rPh sb="8" eb="9">
      <t>イキ</t>
    </rPh>
    <phoneticPr fontId="6"/>
  </si>
  <si>
    <t>運送する旅客の範囲</t>
    <rPh sb="0" eb="2">
      <t>ウンソウ</t>
    </rPh>
    <rPh sb="4" eb="6">
      <t>リョカク</t>
    </rPh>
    <rPh sb="7" eb="9">
      <t>ハンイ</t>
    </rPh>
    <phoneticPr fontId="6"/>
  </si>
  <si>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6"/>
  </si>
  <si>
    <t>氏名又は名称</t>
    <rPh sb="0" eb="2">
      <t>シメイ</t>
    </rPh>
    <rPh sb="2" eb="3">
      <t>マタ</t>
    </rPh>
    <rPh sb="4" eb="6">
      <t>メイショウ</t>
    </rPh>
    <phoneticPr fontId="6"/>
  </si>
  <si>
    <t>住　　　　所</t>
    <rPh sb="0" eb="1">
      <t>ジュウ</t>
    </rPh>
    <rPh sb="5" eb="6">
      <t>ショ</t>
    </rPh>
    <phoneticPr fontId="6"/>
  </si>
  <si>
    <t>備考</t>
    <rPh sb="0" eb="1">
      <t>ソナエ</t>
    </rPh>
    <rPh sb="1" eb="2">
      <t>コウ</t>
    </rPh>
    <phoneticPr fontId="6"/>
  </si>
  <si>
    <t>事務所</t>
    <rPh sb="0" eb="1">
      <t>コト</t>
    </rPh>
    <rPh sb="1" eb="2">
      <t>ツトム</t>
    </rPh>
    <rPh sb="2" eb="3">
      <t>ショ</t>
    </rPh>
    <phoneticPr fontId="6"/>
  </si>
  <si>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6"/>
  </si>
  <si>
    <t>寝台車</t>
    <rPh sb="0" eb="3">
      <t>シンダイシャ</t>
    </rPh>
    <phoneticPr fontId="6"/>
  </si>
  <si>
    <t>車いす車</t>
    <rPh sb="0" eb="1">
      <t>クルマ</t>
    </rPh>
    <rPh sb="3" eb="4">
      <t>グルマ</t>
    </rPh>
    <phoneticPr fontId="6"/>
  </si>
  <si>
    <t>兼用車</t>
    <rPh sb="0" eb="2">
      <t>ケンヨウ</t>
    </rPh>
    <rPh sb="2" eb="3">
      <t>クルマ</t>
    </rPh>
    <phoneticPr fontId="6"/>
  </si>
  <si>
    <t>回転シート車</t>
    <rPh sb="0" eb="2">
      <t>カイテン</t>
    </rPh>
    <rPh sb="5" eb="6">
      <t>シャ</t>
    </rPh>
    <phoneticPr fontId="6"/>
  </si>
  <si>
    <t>セダン等</t>
    <rPh sb="3" eb="4">
      <t>トウ</t>
    </rPh>
    <phoneticPr fontId="6"/>
  </si>
  <si>
    <t>バ　ス</t>
    <phoneticPr fontId="6"/>
  </si>
  <si>
    <t>合　計</t>
    <rPh sb="0" eb="1">
      <t>ゴウ</t>
    </rPh>
    <rPh sb="2" eb="3">
      <t>ケイ</t>
    </rPh>
    <phoneticPr fontId="6"/>
  </si>
  <si>
    <t>（軽自動車）</t>
    <rPh sb="1" eb="5">
      <t>ケイジドウシャ</t>
    </rPh>
    <phoneticPr fontId="6"/>
  </si>
  <si>
    <t>福祉有償運送</t>
  </si>
  <si>
    <t>合計</t>
    <rPh sb="0" eb="2">
      <t>ゴウケイ</t>
    </rPh>
    <phoneticPr fontId="6"/>
  </si>
  <si>
    <t>北室市福第5号</t>
    <rPh sb="1" eb="2">
      <t>ムロ</t>
    </rPh>
    <phoneticPr fontId="6"/>
  </si>
  <si>
    <t>北室市福第7号</t>
    <rPh sb="1" eb="2">
      <t>ムロ</t>
    </rPh>
    <phoneticPr fontId="6"/>
  </si>
  <si>
    <t>北室福第2号</t>
    <rPh sb="1" eb="2">
      <t>ムロ</t>
    </rPh>
    <phoneticPr fontId="6"/>
  </si>
  <si>
    <t>北室福第3号</t>
    <rPh sb="1" eb="2">
      <t>ムロ</t>
    </rPh>
    <phoneticPr fontId="6"/>
  </si>
  <si>
    <t>北室福第4号</t>
    <rPh sb="1" eb="2">
      <t>ムロ</t>
    </rPh>
    <phoneticPr fontId="6"/>
  </si>
  <si>
    <t>北室福第5号</t>
    <rPh sb="0" eb="1">
      <t>ホク</t>
    </rPh>
    <rPh sb="1" eb="2">
      <t>ムロ</t>
    </rPh>
    <phoneticPr fontId="6"/>
  </si>
  <si>
    <t>北室福第7号</t>
    <rPh sb="1" eb="2">
      <t>ムロ</t>
    </rPh>
    <phoneticPr fontId="6"/>
  </si>
  <si>
    <t>北室福第8号</t>
    <rPh sb="1" eb="2">
      <t>ムロ</t>
    </rPh>
    <phoneticPr fontId="6"/>
  </si>
  <si>
    <t>北室福第9号</t>
    <rPh sb="0" eb="1">
      <t>ホク</t>
    </rPh>
    <rPh sb="1" eb="2">
      <t>ムロ</t>
    </rPh>
    <phoneticPr fontId="6"/>
  </si>
  <si>
    <t>北室福第10号</t>
    <rPh sb="1" eb="2">
      <t>ムロ</t>
    </rPh>
    <phoneticPr fontId="6"/>
  </si>
  <si>
    <t>北室福第16号</t>
    <rPh sb="1" eb="2">
      <t>ムロ</t>
    </rPh>
    <phoneticPr fontId="6"/>
  </si>
  <si>
    <t>北室福第18号</t>
    <phoneticPr fontId="6"/>
  </si>
  <si>
    <t>担当者：えりも町障がい福祉係、エンドウ氏</t>
    <rPh sb="0" eb="3">
      <t>タントウシャ</t>
    </rPh>
    <rPh sb="7" eb="8">
      <t>チョウ</t>
    </rPh>
    <rPh sb="8" eb="9">
      <t>ショウ</t>
    </rPh>
    <rPh sb="11" eb="14">
      <t>フクシガカリ</t>
    </rPh>
    <rPh sb="19" eb="20">
      <t>シ</t>
    </rPh>
    <phoneticPr fontId="6"/>
  </si>
  <si>
    <t>北室福第20号</t>
    <phoneticPr fontId="6"/>
  </si>
  <si>
    <t>北室福第25号</t>
    <phoneticPr fontId="6"/>
  </si>
  <si>
    <t>北室福第26号</t>
    <phoneticPr fontId="6"/>
  </si>
  <si>
    <t>北室福第31号</t>
    <phoneticPr fontId="6"/>
  </si>
  <si>
    <t>北室福第32号</t>
    <phoneticPr fontId="6"/>
  </si>
  <si>
    <t>北室福第34号</t>
    <phoneticPr fontId="6"/>
  </si>
  <si>
    <t>北室福第35号</t>
    <phoneticPr fontId="6"/>
  </si>
  <si>
    <t>北室福第37号</t>
    <phoneticPr fontId="6"/>
  </si>
  <si>
    <t>北室福第39号</t>
    <phoneticPr fontId="6"/>
  </si>
  <si>
    <t>北室福第40号</t>
    <phoneticPr fontId="6"/>
  </si>
  <si>
    <t>室蘭５８０て８８２０（持ち込み）</t>
    <rPh sb="0" eb="2">
      <t>ムロラン</t>
    </rPh>
    <rPh sb="11" eb="12">
      <t>モ</t>
    </rPh>
    <rPh sb="13" eb="14">
      <t>コ</t>
    </rPh>
    <phoneticPr fontId="6"/>
  </si>
  <si>
    <t>室蘭５８０ち７９１８（所有）</t>
    <rPh sb="0" eb="2">
      <t>ムロラン</t>
    </rPh>
    <rPh sb="11" eb="13">
      <t>ショユウ</t>
    </rPh>
    <phoneticPr fontId="6"/>
  </si>
  <si>
    <t>北室福第41号</t>
    <phoneticPr fontId="6"/>
  </si>
  <si>
    <t>北室福第45号</t>
    <phoneticPr fontId="6"/>
  </si>
  <si>
    <t>北室福第46号</t>
    <phoneticPr fontId="6"/>
  </si>
  <si>
    <t>北室福第47号</t>
    <phoneticPr fontId="6"/>
  </si>
  <si>
    <t>北室福第48号</t>
    <phoneticPr fontId="6"/>
  </si>
  <si>
    <t>北室福第49号</t>
    <phoneticPr fontId="6"/>
  </si>
  <si>
    <t>北室福第50号</t>
    <phoneticPr fontId="6"/>
  </si>
  <si>
    <t>北室福第51号</t>
    <phoneticPr fontId="6"/>
  </si>
  <si>
    <t>北室福第52号</t>
    <phoneticPr fontId="6"/>
  </si>
  <si>
    <t>北室福第53号</t>
    <phoneticPr fontId="6"/>
  </si>
  <si>
    <t>北室福第54号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</si>
</sst>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E+00"/>
    <numFmt numFmtId="177" formatCode="0;;"/>
    <numFmt numFmtId="178" formatCode="\(0\);;"/>
    <numFmt numFmtId="179" formatCode="&quot;北&quot;&quot;札&quot;&quot;市&quot;&quot;交&quot;&quot;第&quot;##&quot;号&quot;"/>
  </numFmts>
  <fonts count="2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8"/>
      <name val="ＭＳ ゴシック"/>
      <family val="3"/>
      <charset val="128"/>
    </font>
    <font>
      <sz val="6"/>
      <name val="標準ゴシック"/>
      <family val="3"/>
      <charset val="128"/>
    </font>
    <font>
      <sz val="8"/>
      <name val="標準ゴシック"/>
      <family val="3"/>
      <charset val="128"/>
    </font>
    <font>
      <u/>
      <sz val="10"/>
      <color theme="10"/>
      <name val="游ゴシック"/>
      <family val="2"/>
      <charset val="128"/>
      <scheme val="minor"/>
    </font>
    <font>
      <sz val="6"/>
      <color theme="1"/>
      <name val="游ゴシック"/>
      <family val="3"/>
      <charset val="128"/>
      <scheme val="minor"/>
    </font>
    <font>
      <sz val="9"/>
      <color theme="1"/>
      <name val="游ゴシック"/>
      <family val="3"/>
      <charset val="128"/>
      <scheme val="minor"/>
    </font>
    <font>
      <sz val="11"/>
      <name val="ＭＳ ゴシック"/>
      <family val="3"/>
      <charset val="128"/>
    </font>
    <font>
      <sz val="10"/>
      <name val="游ゴシック"/>
      <family val="3"/>
      <charset val="128"/>
      <scheme val="minor"/>
    </font>
    <font>
      <sz val="9"/>
      <name val="游ゴシック"/>
      <family val="3"/>
      <charset val="128"/>
      <scheme val="minor"/>
    </font>
    <font>
      <sz val="8"/>
      <color theme="1"/>
      <name val="游ゴシック"/>
      <family val="3"/>
      <charset val="128"/>
      <scheme val="minor"/>
    </font>
    <font>
      <sz val="14"/>
      <name val="游ゴシック"/>
      <family val="3"/>
      <charset val="128"/>
      <scheme val="minor"/>
    </font>
    <font>
      <sz val="11"/>
      <name val="游ゴシック"/>
      <family val="3"/>
      <charset val="128"/>
      <scheme val="minor"/>
    </font>
    <font>
      <sz val="11"/>
      <color rgb="FFFF0000"/>
      <name val="游ゴシック"/>
      <family val="3"/>
      <charset val="128"/>
      <scheme val="minor"/>
    </font>
    <font>
      <sz val="11"/>
      <color rgb="FFFF0000"/>
      <name val="ＭＳ Ｐゴシック"/>
      <family val="3"/>
      <charset val="128"/>
    </font>
    <font>
      <sz val="16"/>
      <name val="游ゴシック"/>
      <family val="3"/>
      <charset val="128"/>
      <scheme val="minor"/>
    </font>
    <font>
      <u/>
      <sz val="18"/>
      <color theme="10"/>
      <name val="游ゴシック"/>
      <family val="2"/>
      <charset val="128"/>
      <scheme val="minor"/>
    </font>
    <font>
      <u/>
      <sz val="18"/>
      <color theme="10"/>
      <name val="游ゴシック"/>
      <family val="3"/>
      <charset val="128"/>
      <scheme val="minor"/>
    </font>
    <font>
      <sz val="12"/>
      <name val="游ゴシック"/>
      <family val="3"/>
      <charset val="128"/>
      <scheme val="minor"/>
    </font>
    <font>
      <sz val="12"/>
      <color theme="1"/>
      <name val="游ゴシック"/>
      <family val="3"/>
      <charset val="128"/>
      <scheme val="minor"/>
    </font>
    <font>
      <sz val="8"/>
      <name val="游ゴシック"/>
      <family val="3"/>
      <charset val="128"/>
      <scheme val="minor"/>
    </font>
    <font>
      <b/>
      <u/>
      <sz val="18"/>
      <color theme="10"/>
      <name val="游ゴシック"/>
      <family val="3"/>
      <charset val="128"/>
      <scheme val="minor"/>
    </font>
  </fonts>
  <fills count="7">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2" fillId="0" borderId="0">
      <alignment vertical="center"/>
    </xf>
    <xf numFmtId="0" fontId="1" fillId="0" borderId="0">
      <alignment vertical="center"/>
    </xf>
    <xf numFmtId="0" fontId="7" fillId="0" borderId="0"/>
  </cellStyleXfs>
  <cellXfs count="158">
    <xf numFmtId="0" fontId="0" fillId="0" borderId="0" xfId="0">
      <alignment vertical="center"/>
    </xf>
    <xf numFmtId="0" fontId="4" fillId="0" borderId="1" xfId="2" applyFont="1" applyBorder="1" applyAlignment="1" applyProtection="1">
      <alignment horizontal="center" vertical="center" shrinkToFit="1"/>
      <protection hidden="1"/>
    </xf>
    <xf numFmtId="0" fontId="4" fillId="2" borderId="1" xfId="2" applyFont="1" applyFill="1" applyBorder="1" applyAlignment="1" applyProtection="1">
      <alignment horizontal="center" vertical="center" shrinkToFit="1"/>
      <protection hidden="1"/>
    </xf>
    <xf numFmtId="176" fontId="4" fillId="2" borderId="1" xfId="2" applyNumberFormat="1" applyFont="1" applyFill="1" applyBorder="1" applyAlignment="1" applyProtection="1">
      <alignment horizontal="center" vertical="center" shrinkToFit="1"/>
      <protection hidden="1"/>
    </xf>
    <xf numFmtId="176" fontId="4" fillId="3" borderId="1" xfId="2" applyNumberFormat="1" applyFont="1" applyFill="1" applyBorder="1" applyAlignment="1" applyProtection="1">
      <alignment horizontal="center" vertical="center" shrinkToFit="1"/>
      <protection hidden="1"/>
    </xf>
    <xf numFmtId="176" fontId="4" fillId="2" borderId="1" xfId="2" applyNumberFormat="1" applyFont="1" applyFill="1" applyBorder="1" applyAlignment="1" applyProtection="1">
      <alignment horizontal="center" vertical="center" wrapText="1" shrinkToFit="1"/>
      <protection hidden="1"/>
    </xf>
    <xf numFmtId="176" fontId="4" fillId="2" borderId="2" xfId="2" applyNumberFormat="1" applyFont="1" applyFill="1" applyBorder="1" applyAlignment="1" applyProtection="1">
      <alignment horizontal="center" vertical="center" wrapText="1" shrinkToFit="1"/>
      <protection hidden="1"/>
    </xf>
    <xf numFmtId="0" fontId="8" fillId="2" borderId="3" xfId="0" applyFont="1" applyFill="1" applyBorder="1" applyAlignment="1" applyProtection="1">
      <alignment horizontal="distributed" vertical="center" wrapText="1" justifyLastLine="1"/>
      <protection hidden="1"/>
    </xf>
    <xf numFmtId="0" fontId="10" fillId="2" borderId="4" xfId="0" applyFont="1" applyFill="1" applyBorder="1" applyAlignment="1" applyProtection="1">
      <alignment horizontal="distributed" vertical="center" justifyLastLine="1"/>
      <protection hidden="1"/>
    </xf>
    <xf numFmtId="0" fontId="4" fillId="0" borderId="0" xfId="2" applyFont="1" applyAlignment="1" applyProtection="1">
      <alignment horizontal="center" vertical="center" shrinkToFit="1"/>
      <protection hidden="1"/>
    </xf>
    <xf numFmtId="0" fontId="0" fillId="0" borderId="5" xfId="0" applyBorder="1" applyProtection="1">
      <alignment vertical="center"/>
      <protection hidden="1"/>
    </xf>
    <xf numFmtId="0" fontId="11" fillId="4" borderId="1" xfId="1" applyFont="1" applyFill="1" applyBorder="1" applyAlignment="1" applyProtection="1">
      <alignment horizontal="left" vertical="center" shrinkToFit="1"/>
      <protection hidden="1"/>
    </xf>
    <xf numFmtId="57" fontId="4" fillId="0" borderId="1" xfId="2" applyNumberFormat="1" applyFont="1" applyBorder="1" applyAlignment="1" applyProtection="1">
      <alignment horizontal="center" vertical="center" shrinkToFit="1"/>
      <protection hidden="1"/>
    </xf>
    <xf numFmtId="0" fontId="4" fillId="0" borderId="1" xfId="3" applyFont="1" applyBorder="1" applyAlignment="1" applyProtection="1">
      <alignment horizontal="left" vertical="center" wrapText="1" shrinkToFit="1"/>
      <protection hidden="1"/>
    </xf>
    <xf numFmtId="0" fontId="4" fillId="0" borderId="1" xfId="3" applyFont="1" applyBorder="1" applyAlignment="1" applyProtection="1">
      <alignment horizontal="left" vertical="center" shrinkToFit="1"/>
      <protection hidden="1"/>
    </xf>
    <xf numFmtId="0" fontId="0" fillId="5" borderId="1" xfId="0" applyFill="1" applyBorder="1" applyProtection="1">
      <alignment vertical="center"/>
      <protection hidden="1"/>
    </xf>
    <xf numFmtId="0" fontId="4" fillId="0" borderId="1" xfId="2" applyFont="1" applyBorder="1" applyAlignment="1" applyProtection="1">
      <alignment horizontal="left" vertical="center" wrapText="1" shrinkToFit="1"/>
      <protection hidden="1"/>
    </xf>
    <xf numFmtId="0" fontId="4" fillId="3" borderId="1" xfId="2" applyFont="1" applyFill="1" applyBorder="1" applyAlignment="1" applyProtection="1">
      <alignment horizontal="left" vertical="center" wrapText="1" shrinkToFit="1"/>
      <protection hidden="1"/>
    </xf>
    <xf numFmtId="0" fontId="12" fillId="0" borderId="1" xfId="2" applyFont="1" applyBorder="1" applyAlignment="1" applyProtection="1">
      <alignment vertical="center" wrapText="1" shrinkToFit="1"/>
      <protection hidden="1"/>
    </xf>
    <xf numFmtId="0" fontId="13" fillId="0" borderId="1" xfId="2" applyFont="1" applyBorder="1" applyAlignment="1" applyProtection="1">
      <alignment horizontal="left" vertical="center" wrapText="1" shrinkToFit="1"/>
      <protection hidden="1"/>
    </xf>
    <xf numFmtId="0" fontId="4" fillId="0" borderId="1" xfId="2" applyFont="1" applyBorder="1" applyAlignment="1" applyProtection="1">
      <alignment shrinkToFit="1"/>
      <protection hidden="1"/>
    </xf>
    <xf numFmtId="0" fontId="4" fillId="0" borderId="6" xfId="2" applyFont="1" applyBorder="1" applyAlignment="1" applyProtection="1">
      <alignment shrinkToFit="1"/>
      <protection hidden="1"/>
    </xf>
    <xf numFmtId="177" fontId="14" fillId="0" borderId="5" xfId="0" applyNumberFormat="1" applyFont="1" applyBorder="1" applyProtection="1">
      <alignment vertical="center"/>
      <protection hidden="1"/>
    </xf>
    <xf numFmtId="178" fontId="14" fillId="0" borderId="7" xfId="0" applyNumberFormat="1" applyFont="1" applyBorder="1" applyProtection="1">
      <alignment vertical="center"/>
      <protection hidden="1"/>
    </xf>
    <xf numFmtId="0" fontId="4" fillId="0" borderId="1" xfId="2" applyFont="1" applyBorder="1" applyAlignment="1" applyProtection="1">
      <alignment vertical="center" shrinkToFit="1"/>
      <protection hidden="1"/>
    </xf>
    <xf numFmtId="0" fontId="4" fillId="0" borderId="0" xfId="2" applyFont="1" applyAlignment="1" applyProtection="1">
      <alignment vertical="center" shrinkToFit="1"/>
      <protection hidden="1"/>
    </xf>
    <xf numFmtId="0" fontId="1" fillId="0" borderId="1" xfId="1" applyFont="1" applyBorder="1" applyAlignment="1" applyProtection="1">
      <alignment horizontal="right" vertical="center" shrinkToFit="1"/>
      <protection hidden="1"/>
    </xf>
    <xf numFmtId="0" fontId="4" fillId="0" borderId="2" xfId="2" applyFont="1" applyBorder="1" applyAlignment="1" applyProtection="1">
      <alignment shrinkToFit="1"/>
      <protection hidden="1"/>
    </xf>
    <xf numFmtId="177" fontId="14" fillId="0" borderId="2" xfId="0" applyNumberFormat="1" applyFont="1" applyBorder="1" applyProtection="1">
      <alignment vertical="center"/>
      <protection hidden="1"/>
    </xf>
    <xf numFmtId="178" fontId="14" fillId="0" borderId="8" xfId="0" applyNumberFormat="1" applyFont="1" applyBorder="1" applyProtection="1">
      <alignment vertical="center"/>
      <protection hidden="1"/>
    </xf>
    <xf numFmtId="0" fontId="3" fillId="6" borderId="1" xfId="1" applyFill="1" applyBorder="1" applyAlignment="1" applyProtection="1">
      <alignment horizontal="left" vertical="center" shrinkToFit="1"/>
      <protection hidden="1"/>
    </xf>
    <xf numFmtId="57" fontId="4" fillId="5" borderId="1" xfId="2" applyNumberFormat="1" applyFont="1" applyFill="1" applyBorder="1" applyAlignment="1" applyProtection="1">
      <alignment horizontal="center" vertical="center" shrinkToFit="1"/>
      <protection hidden="1"/>
    </xf>
    <xf numFmtId="0" fontId="4" fillId="0" borderId="1" xfId="3" applyFont="1" applyBorder="1" applyAlignment="1" applyProtection="1">
      <alignment vertical="center" wrapText="1" shrinkToFit="1"/>
      <protection hidden="1"/>
    </xf>
    <xf numFmtId="0" fontId="13" fillId="0" borderId="1" xfId="2" applyFont="1" applyBorder="1" applyAlignment="1" applyProtection="1">
      <alignment vertical="center" shrinkToFit="1"/>
      <protection hidden="1"/>
    </xf>
    <xf numFmtId="0" fontId="12" fillId="0" borderId="1" xfId="2" applyFont="1" applyBorder="1" applyAlignment="1" applyProtection="1">
      <alignment horizontal="left" vertical="center" wrapText="1" shrinkToFit="1"/>
      <protection hidden="1"/>
    </xf>
    <xf numFmtId="0" fontId="13" fillId="0" borderId="1" xfId="3" applyFont="1" applyBorder="1" applyAlignment="1" applyProtection="1">
      <alignment horizontal="left" vertical="center" wrapText="1" shrinkToFit="1"/>
      <protection hidden="1"/>
    </xf>
    <xf numFmtId="0" fontId="15" fillId="0" borderId="1" xfId="4" applyFont="1" applyBorder="1" applyAlignment="1" applyProtection="1">
      <alignment horizontal="left" vertical="center" shrinkToFit="1"/>
      <protection hidden="1"/>
    </xf>
    <xf numFmtId="0" fontId="16" fillId="0" borderId="1" xfId="4" applyFont="1" applyBorder="1" applyAlignment="1" applyProtection="1">
      <alignment horizontal="left" vertical="center" wrapText="1" shrinkToFit="1"/>
      <protection hidden="1"/>
    </xf>
    <xf numFmtId="0" fontId="15" fillId="0" borderId="1" xfId="4" applyFont="1" applyBorder="1" applyAlignment="1" applyProtection="1">
      <alignment horizontal="left" vertical="center" wrapText="1" shrinkToFit="1"/>
      <protection hidden="1"/>
    </xf>
    <xf numFmtId="0" fontId="15" fillId="3" borderId="1" xfId="4" applyFont="1" applyFill="1" applyBorder="1" applyAlignment="1" applyProtection="1">
      <alignment horizontal="left" vertical="center" wrapText="1" shrinkToFit="1"/>
      <protection hidden="1"/>
    </xf>
    <xf numFmtId="0" fontId="15" fillId="0" borderId="2" xfId="4" applyFont="1" applyBorder="1" applyAlignment="1" applyProtection="1">
      <alignment horizontal="left" vertical="center" shrinkToFit="1"/>
      <protection hidden="1"/>
    </xf>
    <xf numFmtId="0" fontId="4" fillId="0" borderId="2" xfId="2" applyFont="1" applyBorder="1" applyAlignment="1" applyProtection="1">
      <alignment vertical="center" shrinkToFit="1"/>
      <protection hidden="1"/>
    </xf>
    <xf numFmtId="0" fontId="12" fillId="0" borderId="1" xfId="3" applyFont="1" applyBorder="1" applyAlignment="1" applyProtection="1">
      <alignment horizontal="left" vertical="center" wrapText="1" shrinkToFit="1"/>
      <protection hidden="1"/>
    </xf>
    <xf numFmtId="0" fontId="17" fillId="0" borderId="1" xfId="2" applyFont="1" applyBorder="1" applyAlignment="1" applyProtection="1">
      <alignment horizontal="left" vertical="center" wrapText="1" shrinkToFit="1"/>
      <protection hidden="1"/>
    </xf>
    <xf numFmtId="0" fontId="3" fillId="6" borderId="1" xfId="1" quotePrefix="1" applyFill="1" applyBorder="1" applyAlignment="1" applyProtection="1">
      <alignment horizontal="left" vertical="center" shrinkToFit="1"/>
      <protection hidden="1"/>
    </xf>
    <xf numFmtId="0" fontId="4" fillId="3" borderId="0" xfId="2" applyFont="1" applyFill="1" applyAlignment="1" applyProtection="1">
      <alignment vertical="center" shrinkToFit="1"/>
      <protection hidden="1"/>
    </xf>
    <xf numFmtId="177" fontId="4" fillId="0" borderId="0" xfId="2" applyNumberFormat="1" applyFont="1" applyAlignment="1" applyProtection="1">
      <alignment vertical="center" shrinkToFit="1"/>
      <protection hidden="1"/>
    </xf>
    <xf numFmtId="178" fontId="4" fillId="0" borderId="0" xfId="2" applyNumberFormat="1" applyFont="1" applyAlignment="1" applyProtection="1">
      <alignment vertical="center" shrinkToFit="1"/>
      <protection hidden="1"/>
    </xf>
    <xf numFmtId="0" fontId="18" fillId="0" borderId="0" xfId="0" applyFont="1" applyProtection="1">
      <alignment vertical="center"/>
      <protection hidden="1"/>
    </xf>
    <xf numFmtId="0" fontId="19" fillId="0" borderId="0" xfId="0" applyFont="1" applyProtection="1">
      <alignment vertical="center"/>
      <protection hidden="1"/>
    </xf>
    <xf numFmtId="0" fontId="18" fillId="0" borderId="0" xfId="0" applyFont="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1" xfId="0" applyFont="1"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left" vertical="center"/>
      <protection hidden="1"/>
    </xf>
    <xf numFmtId="0" fontId="22" fillId="0" borderId="0" xfId="0" applyFont="1" applyAlignment="1" applyProtection="1">
      <alignment horizontal="center" vertical="center"/>
      <protection hidden="1"/>
    </xf>
    <xf numFmtId="0" fontId="22" fillId="0" borderId="0" xfId="0" applyFont="1" applyProtection="1">
      <alignment vertical="center"/>
      <protection hidden="1"/>
    </xf>
    <xf numFmtId="0" fontId="23" fillId="0" borderId="0" xfId="1" applyFont="1" applyAlignment="1" applyProtection="1">
      <alignment horizontal="center" vertical="center"/>
      <protection hidden="1"/>
    </xf>
    <xf numFmtId="0" fontId="24" fillId="0" borderId="0" xfId="1" applyFont="1" applyAlignment="1" applyProtection="1">
      <alignment horizontal="center" vertical="center"/>
      <protection hidden="1"/>
    </xf>
    <xf numFmtId="0" fontId="25" fillId="0" borderId="9" xfId="0" applyFont="1" applyBorder="1" applyAlignment="1" applyProtection="1">
      <alignment horizontal="distributed" vertical="center"/>
      <protection hidden="1"/>
    </xf>
    <xf numFmtId="0" fontId="25" fillId="0" borderId="10" xfId="0" applyFont="1" applyBorder="1" applyAlignment="1" applyProtection="1">
      <alignment horizontal="distributed" vertical="center"/>
      <protection hidden="1"/>
    </xf>
    <xf numFmtId="179" fontId="25" fillId="0" borderId="11" xfId="0" applyNumberFormat="1" applyFont="1" applyBorder="1" applyAlignment="1" applyProtection="1">
      <alignment horizontal="center" vertical="center"/>
      <protection hidden="1"/>
    </xf>
    <xf numFmtId="179" fontId="25" fillId="0" borderId="12" xfId="0" applyNumberFormat="1" applyFont="1" applyBorder="1" applyAlignment="1" applyProtection="1">
      <alignment horizontal="center" vertical="center"/>
      <protection hidden="1"/>
    </xf>
    <xf numFmtId="179" fontId="25" fillId="0" borderId="13" xfId="0" applyNumberFormat="1" applyFont="1" applyBorder="1" applyAlignment="1" applyProtection="1">
      <alignment horizontal="center" vertical="center"/>
      <protection hidden="1"/>
    </xf>
    <xf numFmtId="0" fontId="25" fillId="0" borderId="4" xfId="0" applyFont="1" applyBorder="1" applyAlignment="1" applyProtection="1">
      <alignment horizontal="distributed" vertical="center"/>
      <protection hidden="1"/>
    </xf>
    <xf numFmtId="0" fontId="25" fillId="0" borderId="1" xfId="0" applyFont="1" applyBorder="1" applyAlignment="1" applyProtection="1">
      <alignment horizontal="distributed" vertical="center"/>
      <protection hidden="1"/>
    </xf>
    <xf numFmtId="58" fontId="25" fillId="0" borderId="2" xfId="0" applyNumberFormat="1"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5" fillId="0" borderId="15" xfId="0" applyFont="1" applyBorder="1" applyAlignment="1" applyProtection="1">
      <alignment horizontal="center" vertical="center"/>
      <protection hidden="1"/>
    </xf>
    <xf numFmtId="0" fontId="25" fillId="0" borderId="16" xfId="0" applyFont="1" applyBorder="1" applyAlignment="1" applyProtection="1">
      <alignment horizontal="distributed" vertical="center"/>
      <protection hidden="1"/>
    </xf>
    <xf numFmtId="0" fontId="25" fillId="0" borderId="17" xfId="0" applyFont="1" applyBorder="1" applyAlignment="1" applyProtection="1">
      <alignment horizontal="distributed" vertical="center"/>
      <protection hidden="1"/>
    </xf>
    <xf numFmtId="0" fontId="25" fillId="0" borderId="18" xfId="0" applyFont="1" applyBorder="1" applyAlignment="1" applyProtection="1">
      <alignment horizontal="distributed" vertical="center"/>
      <protection hidden="1"/>
    </xf>
    <xf numFmtId="0" fontId="25" fillId="0" borderId="2" xfId="0" applyFont="1" applyBorder="1" applyAlignment="1" applyProtection="1">
      <alignment horizontal="center" vertical="center"/>
      <protection hidden="1"/>
    </xf>
    <xf numFmtId="0" fontId="25" fillId="0" borderId="19" xfId="0" applyFont="1" applyBorder="1" applyAlignment="1" applyProtection="1">
      <alignment horizontal="distributed" vertical="center"/>
      <protection hidden="1"/>
    </xf>
    <xf numFmtId="0" fontId="25" fillId="0" borderId="0" xfId="0" applyFont="1" applyAlignment="1" applyProtection="1">
      <alignment horizontal="distributed" vertical="center"/>
      <protection hidden="1"/>
    </xf>
    <xf numFmtId="0" fontId="25" fillId="0" borderId="7" xfId="0" applyFont="1" applyBorder="1" applyAlignment="1" applyProtection="1">
      <alignment horizontal="distributed" vertical="center"/>
      <protection hidden="1"/>
    </xf>
    <xf numFmtId="0" fontId="25" fillId="0" borderId="16" xfId="0" applyFont="1" applyBorder="1" applyAlignment="1" applyProtection="1">
      <alignment horizontal="distributed" vertical="center" wrapText="1"/>
      <protection hidden="1"/>
    </xf>
    <xf numFmtId="0" fontId="25" fillId="0" borderId="17" xfId="0" applyFont="1" applyBorder="1" applyAlignment="1" applyProtection="1">
      <alignment horizontal="distributed" vertical="center" wrapText="1"/>
      <protection hidden="1"/>
    </xf>
    <xf numFmtId="0" fontId="25" fillId="0" borderId="18" xfId="0" applyFont="1" applyBorder="1" applyAlignment="1" applyProtection="1">
      <alignment horizontal="distributed" vertical="center" wrapText="1"/>
      <protection hidden="1"/>
    </xf>
    <xf numFmtId="0" fontId="25" fillId="0" borderId="1"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0" fontId="25" fillId="0" borderId="19" xfId="0" applyFont="1" applyBorder="1" applyAlignment="1" applyProtection="1">
      <alignment horizontal="distributed" vertical="center" wrapText="1"/>
      <protection hidden="1"/>
    </xf>
    <xf numFmtId="0" fontId="25" fillId="0" borderId="0" xfId="0" applyFont="1" applyAlignment="1" applyProtection="1">
      <alignment horizontal="distributed" vertical="center" wrapText="1"/>
      <protection hidden="1"/>
    </xf>
    <xf numFmtId="0" fontId="25" fillId="0" borderId="7" xfId="0" applyFont="1" applyBorder="1" applyAlignment="1" applyProtection="1">
      <alignment horizontal="distributed" vertical="center" wrapText="1"/>
      <protection hidden="1"/>
    </xf>
    <xf numFmtId="177" fontId="25" fillId="0" borderId="1" xfId="0" applyNumberFormat="1" applyFont="1" applyBorder="1" applyAlignment="1" applyProtection="1">
      <alignment horizontal="left" vertical="center" wrapText="1"/>
      <protection hidden="1"/>
    </xf>
    <xf numFmtId="0" fontId="25" fillId="0" borderId="20" xfId="0" applyFont="1" applyBorder="1" applyAlignment="1" applyProtection="1">
      <alignment horizontal="distributed" vertical="center" wrapText="1"/>
      <protection hidden="1"/>
    </xf>
    <xf numFmtId="0" fontId="25" fillId="0" borderId="21" xfId="0" applyFont="1" applyBorder="1" applyAlignment="1" applyProtection="1">
      <alignment horizontal="distributed" vertical="center" wrapText="1"/>
      <protection hidden="1"/>
    </xf>
    <xf numFmtId="0" fontId="25" fillId="0" borderId="22" xfId="0" applyFont="1" applyBorder="1" applyAlignment="1" applyProtection="1">
      <alignment horizontal="distributed" vertical="center" wrapText="1"/>
      <protection hidden="1"/>
    </xf>
    <xf numFmtId="0" fontId="19" fillId="0" borderId="1" xfId="0" applyFont="1" applyBorder="1" applyAlignment="1" applyProtection="1">
      <alignment horizontal="left" vertical="center" wrapText="1"/>
      <protection hidden="1"/>
    </xf>
    <xf numFmtId="0" fontId="0" fillId="0" borderId="0" xfId="0" applyProtection="1">
      <alignment vertical="center"/>
      <protection hidden="1"/>
    </xf>
    <xf numFmtId="0" fontId="16" fillId="0" borderId="1" xfId="0" applyFont="1" applyBorder="1" applyAlignment="1" applyProtection="1">
      <alignment horizontal="left" vertical="center" wrapText="1"/>
      <protection hidden="1"/>
    </xf>
    <xf numFmtId="0" fontId="26" fillId="0" borderId="4" xfId="0" applyFont="1" applyBorder="1" applyAlignment="1" applyProtection="1">
      <alignment horizontal="distributed" vertical="center" wrapText="1"/>
      <protection hidden="1"/>
    </xf>
    <xf numFmtId="0" fontId="26" fillId="0" borderId="1" xfId="0" applyFont="1" applyBorder="1" applyAlignment="1" applyProtection="1">
      <alignment horizontal="distributed" vertical="center" wrapText="1"/>
      <protection hidden="1"/>
    </xf>
    <xf numFmtId="0" fontId="25" fillId="0" borderId="23" xfId="0" applyFont="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25" fillId="0" borderId="24" xfId="0" applyFont="1" applyBorder="1" applyAlignment="1" applyProtection="1">
      <alignment horizontal="center" vertical="center"/>
      <protection hidden="1"/>
    </xf>
    <xf numFmtId="0" fontId="25" fillId="0" borderId="23" xfId="0" applyFont="1" applyBorder="1" applyAlignment="1" applyProtection="1">
      <alignment horizontal="distributed" vertical="center"/>
      <protection hidden="1"/>
    </xf>
    <xf numFmtId="0" fontId="19" fillId="0" borderId="1"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25" fillId="0" borderId="5" xfId="0" applyFont="1" applyBorder="1" applyAlignment="1" applyProtection="1">
      <alignment horizontal="distributed" vertical="center"/>
      <protection hidden="1"/>
    </xf>
    <xf numFmtId="0" fontId="25" fillId="0" borderId="25" xfId="0" applyFont="1" applyBorder="1" applyAlignment="1" applyProtection="1">
      <alignment horizontal="center" vertical="center" shrinkToFit="1"/>
      <protection hidden="1"/>
    </xf>
    <xf numFmtId="0" fontId="19" fillId="0" borderId="25" xfId="0" applyFont="1" applyBorder="1" applyAlignment="1" applyProtection="1">
      <alignment vertical="center" shrinkToFit="1"/>
      <protection hidden="1"/>
    </xf>
    <xf numFmtId="0" fontId="25" fillId="0" borderId="26" xfId="0" applyFont="1" applyBorder="1" applyAlignment="1" applyProtection="1">
      <alignment horizontal="center" vertical="center" shrinkToFit="1"/>
      <protection hidden="1"/>
    </xf>
    <xf numFmtId="0" fontId="25" fillId="0" borderId="20" xfId="0" applyFont="1" applyBorder="1" applyAlignment="1" applyProtection="1">
      <alignment horizontal="distributed" vertical="center"/>
      <protection hidden="1"/>
    </xf>
    <xf numFmtId="0" fontId="25" fillId="0" borderId="22" xfId="0" applyFont="1" applyBorder="1" applyAlignment="1" applyProtection="1">
      <alignment horizontal="distributed" vertical="center"/>
      <protection hidden="1"/>
    </xf>
    <xf numFmtId="0" fontId="25" fillId="0" borderId="6" xfId="0" applyFont="1" applyBorder="1" applyAlignment="1" applyProtection="1">
      <alignment horizontal="distributed" vertical="center"/>
      <protection hidden="1"/>
    </xf>
    <xf numFmtId="0" fontId="27" fillId="0" borderId="25" xfId="0" applyFont="1" applyBorder="1" applyAlignment="1" applyProtection="1">
      <alignment horizontal="center" vertical="center" shrinkToFit="1"/>
      <protection hidden="1"/>
    </xf>
    <xf numFmtId="0" fontId="27" fillId="0" borderId="26" xfId="0" applyFont="1" applyBorder="1" applyAlignment="1" applyProtection="1">
      <alignment horizontal="center" vertical="center" shrinkToFit="1"/>
      <protection hidden="1"/>
    </xf>
    <xf numFmtId="0" fontId="25" fillId="0" borderId="16" xfId="0" applyFont="1" applyBorder="1" applyAlignment="1" applyProtection="1">
      <alignment horizontal="center" vertical="center" shrinkToFit="1"/>
      <protection hidden="1"/>
    </xf>
    <xf numFmtId="0" fontId="25" fillId="0" borderId="18" xfId="0" applyFont="1" applyBorder="1" applyAlignment="1" applyProtection="1">
      <alignment horizontal="center" vertical="center" shrinkToFit="1"/>
      <protection hidden="1"/>
    </xf>
    <xf numFmtId="177" fontId="25" fillId="0" borderId="23" xfId="0" applyNumberFormat="1" applyFont="1" applyBorder="1" applyAlignment="1" applyProtection="1">
      <alignment horizontal="left" vertical="center" wrapText="1"/>
      <protection hidden="1"/>
    </xf>
    <xf numFmtId="177" fontId="25" fillId="0" borderId="18" xfId="0" applyNumberFormat="1" applyFont="1" applyBorder="1" applyAlignment="1" applyProtection="1">
      <alignment horizontal="left" vertical="center" wrapText="1"/>
      <protection hidden="1"/>
    </xf>
    <xf numFmtId="177" fontId="25" fillId="0" borderId="27" xfId="0" applyNumberFormat="1" applyFont="1" applyBorder="1" applyAlignment="1" applyProtection="1">
      <alignment horizontal="center" vertical="center"/>
      <protection hidden="1"/>
    </xf>
    <xf numFmtId="177" fontId="25" fillId="0" borderId="28" xfId="0" applyNumberFormat="1" applyFont="1" applyBorder="1" applyAlignment="1" applyProtection="1">
      <alignment horizontal="center" vertical="center"/>
      <protection hidden="1"/>
    </xf>
    <xf numFmtId="0" fontId="25" fillId="0" borderId="19" xfId="0" applyFont="1" applyBorder="1" applyAlignment="1" applyProtection="1">
      <alignment horizontal="center" vertical="center" shrinkToFit="1"/>
      <protection hidden="1"/>
    </xf>
    <xf numFmtId="0" fontId="25" fillId="0" borderId="7" xfId="0" applyFont="1" applyBorder="1" applyAlignment="1" applyProtection="1">
      <alignment horizontal="center" vertical="center" shrinkToFit="1"/>
      <protection hidden="1"/>
    </xf>
    <xf numFmtId="177" fontId="25" fillId="0" borderId="5" xfId="0" applyNumberFormat="1" applyFont="1" applyBorder="1" applyAlignment="1" applyProtection="1">
      <alignment horizontal="left" vertical="center" wrapText="1"/>
      <protection hidden="1"/>
    </xf>
    <xf numFmtId="177" fontId="25" fillId="0" borderId="7" xfId="0" applyNumberFormat="1" applyFont="1" applyBorder="1" applyAlignment="1" applyProtection="1">
      <alignment horizontal="left" vertical="center" wrapText="1"/>
      <protection hidden="1"/>
    </xf>
    <xf numFmtId="177" fontId="25" fillId="0" borderId="25" xfId="0" applyNumberFormat="1" applyFont="1" applyBorder="1" applyAlignment="1" applyProtection="1">
      <alignment horizontal="center" vertical="center"/>
      <protection hidden="1"/>
    </xf>
    <xf numFmtId="177" fontId="25" fillId="0" borderId="26" xfId="0" applyNumberFormat="1" applyFont="1" applyBorder="1" applyAlignment="1" applyProtection="1">
      <alignment horizontal="center" vertical="center"/>
      <protection hidden="1"/>
    </xf>
    <xf numFmtId="177" fontId="25" fillId="0" borderId="6" xfId="0" applyNumberFormat="1" applyFont="1" applyBorder="1" applyAlignment="1" applyProtection="1">
      <alignment horizontal="left" vertical="center" wrapText="1"/>
      <protection hidden="1"/>
    </xf>
    <xf numFmtId="177" fontId="25" fillId="0" borderId="22" xfId="0" applyNumberFormat="1" applyFont="1" applyBorder="1" applyAlignment="1" applyProtection="1">
      <alignment horizontal="left" vertical="center" wrapText="1"/>
      <protection hidden="1"/>
    </xf>
    <xf numFmtId="178" fontId="25" fillId="0" borderId="6" xfId="0" quotePrefix="1" applyNumberFormat="1" applyFont="1" applyBorder="1" applyAlignment="1" applyProtection="1">
      <alignment horizontal="center" vertical="center"/>
      <protection hidden="1"/>
    </xf>
    <xf numFmtId="178" fontId="25" fillId="0" borderId="29" xfId="0" applyNumberFormat="1" applyFont="1" applyBorder="1" applyAlignment="1" applyProtection="1">
      <alignment horizontal="center" vertical="center"/>
      <protection hidden="1"/>
    </xf>
    <xf numFmtId="178" fontId="25" fillId="0" borderId="30" xfId="0" quotePrefix="1" applyNumberFormat="1" applyFont="1" applyBorder="1" applyAlignment="1" applyProtection="1">
      <alignment horizontal="center" vertical="center"/>
      <protection hidden="1"/>
    </xf>
    <xf numFmtId="178" fontId="19" fillId="0" borderId="0" xfId="0" applyNumberFormat="1" applyFont="1" applyProtection="1">
      <alignment vertical="center"/>
      <protection hidden="1"/>
    </xf>
    <xf numFmtId="0" fontId="25" fillId="0" borderId="20" xfId="0" applyFont="1" applyBorder="1" applyAlignment="1" applyProtection="1">
      <alignment horizontal="center" vertical="center" shrinkToFit="1"/>
      <protection hidden="1"/>
    </xf>
    <xf numFmtId="0" fontId="25" fillId="0" borderId="22" xfId="0" applyFont="1" applyBorder="1" applyAlignment="1" applyProtection="1">
      <alignment horizontal="center" vertical="center" shrinkToFit="1"/>
      <protection hidden="1"/>
    </xf>
    <xf numFmtId="0" fontId="25" fillId="0" borderId="16" xfId="0" applyFont="1" applyBorder="1" applyAlignment="1" applyProtection="1">
      <alignment horizontal="center" vertical="center"/>
      <protection hidden="1"/>
    </xf>
    <xf numFmtId="0" fontId="25" fillId="0" borderId="19" xfId="0" applyFont="1" applyBorder="1" applyAlignment="1" applyProtection="1">
      <alignment horizontal="center" vertical="center"/>
      <protection hidden="1"/>
    </xf>
    <xf numFmtId="0" fontId="25" fillId="0" borderId="7" xfId="0" applyFont="1" applyBorder="1" applyAlignment="1" applyProtection="1">
      <alignment horizontal="center" vertical="center"/>
      <protection hidden="1"/>
    </xf>
    <xf numFmtId="0" fontId="25" fillId="0" borderId="20" xfId="0" applyFont="1" applyBorder="1" applyAlignment="1" applyProtection="1">
      <alignment horizontal="center" vertical="center"/>
      <protection hidden="1"/>
    </xf>
    <xf numFmtId="0" fontId="25" fillId="0" borderId="22" xfId="0" applyFont="1" applyBorder="1" applyAlignment="1" applyProtection="1">
      <alignment horizontal="center" vertical="center"/>
      <protection hidden="1"/>
    </xf>
    <xf numFmtId="0" fontId="25" fillId="0" borderId="31" xfId="0" applyFont="1" applyBorder="1" applyAlignment="1" applyProtection="1">
      <alignment horizontal="center" vertical="center"/>
      <protection hidden="1"/>
    </xf>
    <xf numFmtId="0" fontId="25" fillId="0" borderId="32" xfId="0" applyFont="1" applyBorder="1" applyAlignment="1" applyProtection="1">
      <alignment horizontal="center" vertical="center"/>
      <protection hidden="1"/>
    </xf>
    <xf numFmtId="177" fontId="25" fillId="0" borderId="23" xfId="0" applyNumberFormat="1" applyFont="1" applyBorder="1" applyAlignment="1" applyProtection="1">
      <alignment horizontal="distributed" vertical="center"/>
      <protection hidden="1"/>
    </xf>
    <xf numFmtId="177" fontId="25" fillId="0" borderId="18" xfId="0" applyNumberFormat="1" applyFont="1" applyBorder="1" applyAlignment="1" applyProtection="1">
      <alignment horizontal="distributed" vertical="center"/>
      <protection hidden="1"/>
    </xf>
    <xf numFmtId="0" fontId="25" fillId="0" borderId="33"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177" fontId="25" fillId="0" borderId="5" xfId="0" applyNumberFormat="1" applyFont="1" applyBorder="1" applyAlignment="1" applyProtection="1">
      <alignment horizontal="distributed" vertical="center"/>
      <protection hidden="1"/>
    </xf>
    <xf numFmtId="177" fontId="25" fillId="0" borderId="7" xfId="0" applyNumberFormat="1" applyFont="1" applyBorder="1" applyAlignment="1" applyProtection="1">
      <alignment horizontal="distributed" vertical="center"/>
      <protection hidden="1"/>
    </xf>
    <xf numFmtId="0" fontId="25" fillId="0" borderId="35" xfId="0" applyFont="1"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177" fontId="25" fillId="0" borderId="37" xfId="0" applyNumberFormat="1" applyFont="1" applyBorder="1" applyAlignment="1" applyProtection="1">
      <alignment horizontal="distributed" vertical="center"/>
      <protection hidden="1"/>
    </xf>
    <xf numFmtId="177" fontId="25" fillId="0" borderId="38" xfId="0" applyNumberFormat="1" applyFont="1" applyBorder="1" applyAlignment="1" applyProtection="1">
      <alignment horizontal="distributed" vertical="center"/>
      <protection hidden="1"/>
    </xf>
    <xf numFmtId="178" fontId="25" fillId="0" borderId="39" xfId="0" quotePrefix="1" applyNumberFormat="1" applyFont="1" applyBorder="1" applyAlignment="1" applyProtection="1">
      <alignment horizontal="center" vertical="center"/>
      <protection hidden="1"/>
    </xf>
    <xf numFmtId="178" fontId="25" fillId="0" borderId="39" xfId="0" applyNumberFormat="1" applyFont="1" applyBorder="1" applyAlignment="1" applyProtection="1">
      <alignment horizontal="center" vertical="center"/>
      <protection hidden="1"/>
    </xf>
    <xf numFmtId="178" fontId="25" fillId="0" borderId="40" xfId="0" quotePrefix="1" applyNumberFormat="1" applyFont="1" applyBorder="1" applyAlignment="1" applyProtection="1">
      <alignment horizontal="center" vertical="center"/>
      <protection hidden="1"/>
    </xf>
    <xf numFmtId="0" fontId="25" fillId="0" borderId="0" xfId="0" applyFont="1" applyProtection="1">
      <alignment vertical="center"/>
      <protection hidden="1"/>
    </xf>
    <xf numFmtId="177" fontId="19" fillId="0" borderId="1" xfId="0" applyNumberFormat="1" applyFont="1" applyBorder="1" applyAlignment="1" applyProtection="1">
      <alignment horizontal="left" vertical="center" wrapText="1"/>
      <protection hidden="1"/>
    </xf>
    <xf numFmtId="177" fontId="25" fillId="0" borderId="3" xfId="0" applyNumberFormat="1" applyFont="1" applyBorder="1" applyAlignment="1" applyProtection="1">
      <alignment horizontal="left" vertical="center" wrapText="1"/>
      <protection hidden="1"/>
    </xf>
    <xf numFmtId="0" fontId="25" fillId="0" borderId="1" xfId="0" applyFont="1" applyBorder="1" applyAlignment="1" applyProtection="1">
      <alignment horizontal="left" vertical="center" wrapText="1"/>
      <protection hidden="1"/>
    </xf>
    <xf numFmtId="0" fontId="28" fillId="0" borderId="41" xfId="1" applyFont="1" applyBorder="1" applyAlignment="1" applyProtection="1">
      <alignment horizontal="center" vertical="center"/>
      <protection hidden="1"/>
    </xf>
    <xf numFmtId="0" fontId="28" fillId="0" borderId="42" xfId="1" applyFont="1" applyBorder="1" applyAlignment="1" applyProtection="1">
      <alignment horizontal="center" vertical="center"/>
      <protection hidden="1"/>
    </xf>
    <xf numFmtId="0" fontId="28" fillId="0" borderId="43" xfId="1" applyFont="1" applyBorder="1" applyAlignment="1" applyProtection="1">
      <alignment horizontal="center" vertical="center"/>
      <protection hidden="1"/>
    </xf>
    <xf numFmtId="177" fontId="25" fillId="0" borderId="1" xfId="0" applyNumberFormat="1"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cellXfs>
  <cellStyles count="5">
    <cellStyle name="ハイパーリンク" xfId="1" builtinId="8"/>
    <cellStyle name="標準" xfId="0" builtinId="0"/>
    <cellStyle name="標準 3" xfId="2" xr:uid="{91812F28-5403-4BC6-B27A-42380CD6166F}"/>
    <cellStyle name="標準 4" xfId="3" xr:uid="{ED6EE3BF-DD27-406E-B427-30FC03D78EB7}"/>
    <cellStyle name="標準_台帳番号(患者限定)" xfId="4" xr:uid="{35714A2C-8906-48DE-8901-36C95C83B4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5C424-7635-48AE-813E-0CC211A03790}">
  <sheetPr codeName="Sheet1">
    <tabColor rgb="FFFF0000"/>
  </sheetPr>
  <dimension ref="A1:AI38"/>
  <sheetViews>
    <sheetView tabSelected="1" view="pageBreakPreview" zoomScaleNormal="100" zoomScaleSheetLayoutView="100" workbookViewId="0">
      <pane xSplit="6" ySplit="1" topLeftCell="G18" activePane="bottomRight" state="frozen"/>
      <selection pane="topRight" activeCell="G1" sqref="G1"/>
      <selection pane="bottomLeft" activeCell="A2" sqref="A2"/>
      <selection pane="bottomRight" activeCell="E27" sqref="E27"/>
    </sheetView>
  </sheetViews>
  <sheetFormatPr defaultColWidth="9" defaultRowHeight="16.2" x14ac:dyDescent="0.2"/>
  <cols>
    <col min="1" max="1" width="4.88671875" style="9" customWidth="1"/>
    <col min="2" max="2" width="12.77734375" style="9" customWidth="1"/>
    <col min="3" max="5" width="9.6640625" style="9" customWidth="1"/>
    <col min="6" max="6" width="35.33203125" style="25" customWidth="1"/>
    <col min="7" max="7" width="12.77734375" style="25" customWidth="1"/>
    <col min="8" max="8" width="15.44140625" style="25" bestFit="1" customWidth="1"/>
    <col min="9" max="9" width="35.109375" style="25" customWidth="1"/>
    <col min="10" max="10" width="15.6640625" style="25" customWidth="1"/>
    <col min="11" max="11" width="25.6640625" style="25" customWidth="1"/>
    <col min="12" max="12" width="15.6640625" style="45" hidden="1" customWidth="1"/>
    <col min="13" max="13" width="25.6640625" style="45" hidden="1" customWidth="1"/>
    <col min="14" max="14" width="15.6640625" style="45" hidden="1" customWidth="1"/>
    <col min="15" max="15" width="25.6640625" style="45" hidden="1" customWidth="1"/>
    <col min="16" max="16" width="17.6640625" style="25" customWidth="1"/>
    <col min="17" max="17" width="40.6640625" style="25" customWidth="1"/>
    <col min="18" max="18" width="19.88671875" style="25" customWidth="1"/>
    <col min="19" max="19" width="19.44140625" style="25" customWidth="1"/>
    <col min="20" max="20" width="4.6640625" style="46" customWidth="1"/>
    <col min="21" max="21" width="4.6640625" style="47" customWidth="1"/>
    <col min="22" max="22" width="4.6640625" style="46" customWidth="1"/>
    <col min="23" max="23" width="4.6640625" style="47" customWidth="1"/>
    <col min="24" max="24" width="4.6640625" style="46" customWidth="1"/>
    <col min="25" max="25" width="4.6640625" style="47" customWidth="1"/>
    <col min="26" max="26" width="4.6640625" style="46" customWidth="1"/>
    <col min="27" max="27" width="4.6640625" style="47" customWidth="1"/>
    <col min="28" max="28" width="4.6640625" style="46" customWidth="1"/>
    <col min="29" max="29" width="4.6640625" style="47" customWidth="1"/>
    <col min="30" max="30" width="4.6640625" style="46" customWidth="1"/>
    <col min="31" max="31" width="4.6640625" style="47" customWidth="1"/>
    <col min="32" max="32" width="4.6640625" style="46" customWidth="1"/>
    <col min="33" max="33" width="4.6640625" style="47" customWidth="1"/>
    <col min="34" max="34" width="9" style="25"/>
    <col min="35" max="35" width="0" style="25" hidden="1" customWidth="1"/>
    <col min="36" max="16384" width="9" style="25"/>
  </cols>
  <sheetData>
    <row r="1" spans="1:35" s="9" customFormat="1" ht="37.5" customHeight="1" x14ac:dyDescent="0.2">
      <c r="A1" s="1" t="s">
        <v>0</v>
      </c>
      <c r="B1" s="2" t="s">
        <v>1</v>
      </c>
      <c r="C1" s="2" t="s">
        <v>2</v>
      </c>
      <c r="D1" s="2" t="s">
        <v>3</v>
      </c>
      <c r="E1" s="2" t="s">
        <v>4</v>
      </c>
      <c r="F1" s="2" t="s">
        <v>5</v>
      </c>
      <c r="G1" s="2" t="s">
        <v>6</v>
      </c>
      <c r="H1" s="1" t="s">
        <v>7</v>
      </c>
      <c r="I1" s="3" t="s">
        <v>8</v>
      </c>
      <c r="J1" s="3" t="s">
        <v>9</v>
      </c>
      <c r="K1" s="3" t="s">
        <v>10</v>
      </c>
      <c r="L1" s="4" t="s">
        <v>11</v>
      </c>
      <c r="M1" s="4" t="s">
        <v>12</v>
      </c>
      <c r="N1" s="4" t="s">
        <v>11</v>
      </c>
      <c r="O1" s="4" t="s">
        <v>12</v>
      </c>
      <c r="P1" s="3" t="s">
        <v>13</v>
      </c>
      <c r="Q1" s="3" t="s">
        <v>14</v>
      </c>
      <c r="R1" s="5" t="s">
        <v>15</v>
      </c>
      <c r="S1" s="6" t="s">
        <v>16</v>
      </c>
      <c r="T1" s="7" t="s">
        <v>17</v>
      </c>
      <c r="U1" s="8"/>
      <c r="V1" s="7" t="s">
        <v>18</v>
      </c>
      <c r="W1" s="8"/>
      <c r="X1" s="7" t="s">
        <v>19</v>
      </c>
      <c r="Y1" s="8"/>
      <c r="Z1" s="7" t="s">
        <v>20</v>
      </c>
      <c r="AA1" s="8"/>
      <c r="AB1" s="7" t="s">
        <v>21</v>
      </c>
      <c r="AC1" s="8"/>
      <c r="AD1" s="7" t="s">
        <v>22</v>
      </c>
      <c r="AE1" s="8"/>
      <c r="AF1" s="7" t="s">
        <v>23</v>
      </c>
      <c r="AG1" s="8"/>
    </row>
    <row r="2" spans="1:35" ht="30" customHeight="1" x14ac:dyDescent="0.4">
      <c r="A2" s="10">
        <v>1</v>
      </c>
      <c r="B2" s="11" t="s">
        <v>24</v>
      </c>
      <c r="C2" s="12">
        <v>38991</v>
      </c>
      <c r="D2" s="12">
        <v>45198</v>
      </c>
      <c r="E2" s="12">
        <v>46295</v>
      </c>
      <c r="F2" s="13" t="s">
        <v>25</v>
      </c>
      <c r="G2" s="14" t="s">
        <v>26</v>
      </c>
      <c r="H2" s="15" t="s">
        <v>27</v>
      </c>
      <c r="I2" s="13" t="s">
        <v>28</v>
      </c>
      <c r="J2" s="16" t="s">
        <v>29</v>
      </c>
      <c r="K2" s="16" t="s">
        <v>30</v>
      </c>
      <c r="L2" s="17"/>
      <c r="M2" s="17"/>
      <c r="N2" s="17"/>
      <c r="O2" s="17"/>
      <c r="P2" s="18" t="s">
        <v>31</v>
      </c>
      <c r="Q2" s="19" t="s">
        <v>32</v>
      </c>
      <c r="R2" s="20"/>
      <c r="S2" s="21"/>
      <c r="T2" s="22"/>
      <c r="U2" s="23"/>
      <c r="V2" s="22">
        <v>1</v>
      </c>
      <c r="W2" s="23"/>
      <c r="X2" s="22"/>
      <c r="Y2" s="23"/>
      <c r="Z2" s="22"/>
      <c r="AA2" s="23"/>
      <c r="AB2" s="22">
        <v>3</v>
      </c>
      <c r="AC2" s="23">
        <v>3</v>
      </c>
      <c r="AD2" s="22"/>
      <c r="AE2" s="23"/>
      <c r="AF2" s="22">
        <f>SUM(T2,V2,X2,Z2,AB2,AD2)</f>
        <v>4</v>
      </c>
      <c r="AG2" s="23">
        <f>SUM(U2,W2,Y2,AA2,AC2)</f>
        <v>3</v>
      </c>
      <c r="AH2" s="24" t="s">
        <v>33</v>
      </c>
      <c r="AI2" s="25" t="s">
        <v>33</v>
      </c>
    </row>
    <row r="3" spans="1:35" ht="30" customHeight="1" x14ac:dyDescent="0.4">
      <c r="A3" s="26">
        <v>2</v>
      </c>
      <c r="B3" s="11" t="s">
        <v>34</v>
      </c>
      <c r="C3" s="12">
        <v>38991</v>
      </c>
      <c r="D3" s="12">
        <v>45154</v>
      </c>
      <c r="E3" s="12">
        <v>46295</v>
      </c>
      <c r="F3" s="13" t="s">
        <v>35</v>
      </c>
      <c r="G3" s="14" t="s">
        <v>36</v>
      </c>
      <c r="H3" s="15" t="s">
        <v>37</v>
      </c>
      <c r="I3" s="13" t="s">
        <v>38</v>
      </c>
      <c r="J3" s="16" t="s">
        <v>39</v>
      </c>
      <c r="K3" s="16" t="s">
        <v>38</v>
      </c>
      <c r="L3" s="17"/>
      <c r="M3" s="17"/>
      <c r="N3" s="17"/>
      <c r="O3" s="17"/>
      <c r="P3" s="24" t="s">
        <v>40</v>
      </c>
      <c r="Q3" s="19" t="s">
        <v>41</v>
      </c>
      <c r="R3" s="20"/>
      <c r="S3" s="27"/>
      <c r="T3" s="28"/>
      <c r="U3" s="29"/>
      <c r="V3" s="28">
        <v>4</v>
      </c>
      <c r="W3" s="29">
        <v>2</v>
      </c>
      <c r="X3" s="28"/>
      <c r="Y3" s="29"/>
      <c r="Z3" s="28">
        <v>1</v>
      </c>
      <c r="AA3" s="29"/>
      <c r="AB3" s="28"/>
      <c r="AC3" s="29"/>
      <c r="AD3" s="28"/>
      <c r="AE3" s="29"/>
      <c r="AF3" s="28">
        <f>SUM(T3,V3,X3,Z3,AB3,AD3)</f>
        <v>5</v>
      </c>
      <c r="AG3" s="29">
        <f t="shared" ref="AG3:AG38" si="0">SUM(U3,W3,Y3,AA3,AC3)</f>
        <v>2</v>
      </c>
      <c r="AH3" s="24" t="s">
        <v>33</v>
      </c>
      <c r="AI3" s="25" t="s">
        <v>42</v>
      </c>
    </row>
    <row r="4" spans="1:35" ht="30" customHeight="1" x14ac:dyDescent="0.4">
      <c r="A4" s="26">
        <v>3</v>
      </c>
      <c r="B4" s="11" t="s">
        <v>43</v>
      </c>
      <c r="C4" s="12">
        <v>38991</v>
      </c>
      <c r="D4" s="12">
        <v>45200</v>
      </c>
      <c r="E4" s="12">
        <v>46295</v>
      </c>
      <c r="F4" s="13" t="s">
        <v>44</v>
      </c>
      <c r="G4" s="14" t="s">
        <v>45</v>
      </c>
      <c r="H4" s="15" t="s">
        <v>46</v>
      </c>
      <c r="I4" s="13" t="s">
        <v>47</v>
      </c>
      <c r="J4" s="16" t="s">
        <v>48</v>
      </c>
      <c r="K4" s="16" t="s">
        <v>49</v>
      </c>
      <c r="L4" s="17"/>
      <c r="M4" s="17"/>
      <c r="N4" s="17"/>
      <c r="O4" s="17"/>
      <c r="P4" s="24" t="s">
        <v>50</v>
      </c>
      <c r="Q4" s="19" t="s">
        <v>51</v>
      </c>
      <c r="R4" s="20"/>
      <c r="S4" s="27"/>
      <c r="T4" s="22"/>
      <c r="U4" s="23"/>
      <c r="V4" s="22">
        <v>2</v>
      </c>
      <c r="W4" s="23"/>
      <c r="X4" s="22"/>
      <c r="Y4" s="23"/>
      <c r="Z4" s="22"/>
      <c r="AA4" s="23"/>
      <c r="AB4" s="22">
        <v>1</v>
      </c>
      <c r="AC4" s="23"/>
      <c r="AD4" s="22"/>
      <c r="AE4" s="23"/>
      <c r="AF4" s="22">
        <f t="shared" ref="AF4:AF38" si="1">SUM(T4,V4,X4,Z4,AB4,AD4)</f>
        <v>3</v>
      </c>
      <c r="AG4" s="23">
        <f t="shared" si="0"/>
        <v>0</v>
      </c>
      <c r="AH4" s="24" t="s">
        <v>33</v>
      </c>
      <c r="AI4" s="25" t="s">
        <v>52</v>
      </c>
    </row>
    <row r="5" spans="1:35" ht="30" customHeight="1" x14ac:dyDescent="0.4">
      <c r="A5" s="26">
        <v>4</v>
      </c>
      <c r="B5" s="30" t="s">
        <v>53</v>
      </c>
      <c r="C5" s="12">
        <v>39168</v>
      </c>
      <c r="D5" s="12">
        <v>45377</v>
      </c>
      <c r="E5" s="31">
        <v>46472</v>
      </c>
      <c r="F5" s="32" t="s">
        <v>54</v>
      </c>
      <c r="G5" s="24" t="s">
        <v>55</v>
      </c>
      <c r="H5" s="15" t="s">
        <v>56</v>
      </c>
      <c r="I5" s="32" t="s">
        <v>57</v>
      </c>
      <c r="J5" s="16" t="s">
        <v>58</v>
      </c>
      <c r="K5" s="16" t="s">
        <v>59</v>
      </c>
      <c r="L5" s="17"/>
      <c r="M5" s="17"/>
      <c r="N5" s="17"/>
      <c r="O5" s="17"/>
      <c r="P5" s="14" t="s">
        <v>60</v>
      </c>
      <c r="Q5" s="33" t="s">
        <v>61</v>
      </c>
      <c r="R5" s="20"/>
      <c r="S5" s="27"/>
      <c r="T5" s="28"/>
      <c r="U5" s="29"/>
      <c r="V5" s="28"/>
      <c r="W5" s="29"/>
      <c r="X5" s="28"/>
      <c r="Y5" s="29"/>
      <c r="Z5" s="28"/>
      <c r="AA5" s="29"/>
      <c r="AB5" s="28">
        <v>3</v>
      </c>
      <c r="AC5" s="29">
        <v>3</v>
      </c>
      <c r="AD5" s="28"/>
      <c r="AE5" s="29"/>
      <c r="AF5" s="28">
        <f>SUM(T5,V5,X5,Z5,AB5,AD5)</f>
        <v>3</v>
      </c>
      <c r="AG5" s="29">
        <f t="shared" si="0"/>
        <v>3</v>
      </c>
      <c r="AH5" s="24" t="s">
        <v>62</v>
      </c>
      <c r="AI5" s="25" t="s">
        <v>63</v>
      </c>
    </row>
    <row r="6" spans="1:35" ht="30" customHeight="1" x14ac:dyDescent="0.4">
      <c r="A6" s="26">
        <v>5</v>
      </c>
      <c r="B6" s="30" t="s">
        <v>64</v>
      </c>
      <c r="C6" s="12">
        <v>38991</v>
      </c>
      <c r="D6" s="12">
        <v>45195</v>
      </c>
      <c r="E6" s="12">
        <v>46290</v>
      </c>
      <c r="F6" s="32" t="s">
        <v>65</v>
      </c>
      <c r="G6" s="24" t="s">
        <v>66</v>
      </c>
      <c r="H6" s="15" t="s">
        <v>67</v>
      </c>
      <c r="I6" s="32" t="s">
        <v>68</v>
      </c>
      <c r="J6" s="16" t="s">
        <v>69</v>
      </c>
      <c r="K6" s="16" t="s">
        <v>68</v>
      </c>
      <c r="L6" s="17"/>
      <c r="M6" s="17"/>
      <c r="N6" s="17"/>
      <c r="O6" s="17"/>
      <c r="P6" s="14" t="s">
        <v>70</v>
      </c>
      <c r="Q6" s="33" t="s">
        <v>71</v>
      </c>
      <c r="R6" s="20"/>
      <c r="S6" s="27"/>
      <c r="T6" s="22"/>
      <c r="U6" s="23"/>
      <c r="V6" s="22">
        <v>1</v>
      </c>
      <c r="W6" s="23"/>
      <c r="X6" s="22"/>
      <c r="Y6" s="23"/>
      <c r="Z6" s="22"/>
      <c r="AA6" s="23"/>
      <c r="AB6" s="22">
        <v>2</v>
      </c>
      <c r="AC6" s="23">
        <v>1</v>
      </c>
      <c r="AD6" s="22"/>
      <c r="AE6" s="23"/>
      <c r="AF6" s="22">
        <f>SUM(T6,V6,X6,Z6,AB6,AD6)</f>
        <v>3</v>
      </c>
      <c r="AG6" s="23">
        <f t="shared" si="0"/>
        <v>1</v>
      </c>
      <c r="AH6" s="24" t="s">
        <v>62</v>
      </c>
      <c r="AI6" s="25" t="s">
        <v>72</v>
      </c>
    </row>
    <row r="7" spans="1:35" ht="30" customHeight="1" x14ac:dyDescent="0.4">
      <c r="A7" s="26">
        <v>6</v>
      </c>
      <c r="B7" s="30" t="s">
        <v>73</v>
      </c>
      <c r="C7" s="12">
        <v>38991</v>
      </c>
      <c r="D7" s="12">
        <v>45012</v>
      </c>
      <c r="E7" s="12">
        <v>46112</v>
      </c>
      <c r="F7" s="32" t="s">
        <v>74</v>
      </c>
      <c r="G7" s="24" t="s">
        <v>75</v>
      </c>
      <c r="H7" s="15" t="s">
        <v>76</v>
      </c>
      <c r="I7" s="32" t="s">
        <v>77</v>
      </c>
      <c r="J7" s="19" t="s">
        <v>74</v>
      </c>
      <c r="K7" s="16" t="s">
        <v>78</v>
      </c>
      <c r="L7" s="17"/>
      <c r="M7" s="17"/>
      <c r="N7" s="17"/>
      <c r="O7" s="17"/>
      <c r="P7" s="14" t="s">
        <v>79</v>
      </c>
      <c r="Q7" s="33" t="s">
        <v>80</v>
      </c>
      <c r="R7" s="20"/>
      <c r="S7" s="27"/>
      <c r="T7" s="28"/>
      <c r="U7" s="29"/>
      <c r="V7" s="28">
        <v>1</v>
      </c>
      <c r="W7" s="29">
        <v>1</v>
      </c>
      <c r="X7" s="28">
        <v>2</v>
      </c>
      <c r="Y7" s="29"/>
      <c r="Z7" s="28"/>
      <c r="AA7" s="29"/>
      <c r="AB7" s="28">
        <v>8</v>
      </c>
      <c r="AC7" s="29">
        <v>7</v>
      </c>
      <c r="AD7" s="28"/>
      <c r="AE7" s="29"/>
      <c r="AF7" s="28">
        <f>SUM(T7,V7,X7,Z7,AB7,AD7)</f>
        <v>11</v>
      </c>
      <c r="AG7" s="29">
        <f>SUM(U7,W7,Y7,AA7,AC7)</f>
        <v>8</v>
      </c>
      <c r="AH7" s="24" t="s">
        <v>81</v>
      </c>
      <c r="AI7" s="25" t="s">
        <v>82</v>
      </c>
    </row>
    <row r="8" spans="1:35" ht="30" customHeight="1" x14ac:dyDescent="0.4">
      <c r="A8" s="26">
        <v>7</v>
      </c>
      <c r="B8" s="30" t="s">
        <v>83</v>
      </c>
      <c r="C8" s="12">
        <v>38991</v>
      </c>
      <c r="D8" s="12">
        <v>45195</v>
      </c>
      <c r="E8" s="12">
        <v>46290</v>
      </c>
      <c r="F8" s="32" t="s">
        <v>84</v>
      </c>
      <c r="G8" s="24" t="s">
        <v>85</v>
      </c>
      <c r="H8" s="15" t="s">
        <v>86</v>
      </c>
      <c r="I8" s="32" t="s">
        <v>87</v>
      </c>
      <c r="J8" s="34" t="s">
        <v>88</v>
      </c>
      <c r="K8" s="16" t="s">
        <v>87</v>
      </c>
      <c r="L8" s="17"/>
      <c r="M8" s="17"/>
      <c r="N8" s="17"/>
      <c r="O8" s="17"/>
      <c r="P8" s="14" t="s">
        <v>70</v>
      </c>
      <c r="Q8" s="24" t="s">
        <v>89</v>
      </c>
      <c r="R8" s="20"/>
      <c r="S8" s="27"/>
      <c r="T8" s="22"/>
      <c r="U8" s="23"/>
      <c r="V8" s="22">
        <v>1</v>
      </c>
      <c r="W8" s="23"/>
      <c r="X8" s="22"/>
      <c r="Y8" s="23"/>
      <c r="Z8" s="22"/>
      <c r="AA8" s="23"/>
      <c r="AB8" s="22">
        <v>5</v>
      </c>
      <c r="AC8" s="23"/>
      <c r="AD8" s="22"/>
      <c r="AE8" s="23"/>
      <c r="AF8" s="22">
        <f>SUM(T8,V8,X8,Z8,AB8,AD8)</f>
        <v>6</v>
      </c>
      <c r="AG8" s="23">
        <f>SUM(U8,W8,Y8,AA8,AC8)</f>
        <v>0</v>
      </c>
      <c r="AH8" s="24" t="s">
        <v>81</v>
      </c>
      <c r="AI8" s="25" t="s">
        <v>90</v>
      </c>
    </row>
    <row r="9" spans="1:35" ht="30" customHeight="1" x14ac:dyDescent="0.4">
      <c r="A9" s="26">
        <v>8</v>
      </c>
      <c r="B9" s="30" t="s">
        <v>91</v>
      </c>
      <c r="C9" s="12">
        <v>38991</v>
      </c>
      <c r="D9" s="12">
        <v>45003</v>
      </c>
      <c r="E9" s="12">
        <v>46112</v>
      </c>
      <c r="F9" s="32" t="s">
        <v>92</v>
      </c>
      <c r="G9" s="24" t="s">
        <v>93</v>
      </c>
      <c r="H9" s="15" t="s">
        <v>94</v>
      </c>
      <c r="I9" s="32" t="s">
        <v>95</v>
      </c>
      <c r="J9" s="16" t="s">
        <v>96</v>
      </c>
      <c r="K9" s="16" t="s">
        <v>97</v>
      </c>
      <c r="L9" s="17"/>
      <c r="M9" s="17"/>
      <c r="N9" s="17"/>
      <c r="O9" s="17"/>
      <c r="P9" s="14" t="s">
        <v>98</v>
      </c>
      <c r="Q9" s="24" t="s">
        <v>99</v>
      </c>
      <c r="R9" s="20"/>
      <c r="S9" s="27"/>
      <c r="T9" s="28"/>
      <c r="U9" s="29"/>
      <c r="V9" s="28">
        <v>1</v>
      </c>
      <c r="W9" s="29">
        <v>1</v>
      </c>
      <c r="X9" s="28"/>
      <c r="Y9" s="29"/>
      <c r="Z9" s="28">
        <v>2</v>
      </c>
      <c r="AA9" s="29">
        <v>2</v>
      </c>
      <c r="AB9" s="28"/>
      <c r="AC9" s="29"/>
      <c r="AD9" s="28"/>
      <c r="AE9" s="29"/>
      <c r="AF9" s="28">
        <f t="shared" si="1"/>
        <v>3</v>
      </c>
      <c r="AG9" s="29">
        <f t="shared" si="0"/>
        <v>3</v>
      </c>
      <c r="AH9" s="24" t="s">
        <v>81</v>
      </c>
      <c r="AI9" s="25" t="s">
        <v>81</v>
      </c>
    </row>
    <row r="10" spans="1:35" ht="30" customHeight="1" x14ac:dyDescent="0.4">
      <c r="A10" s="26">
        <v>9</v>
      </c>
      <c r="B10" s="30" t="s">
        <v>100</v>
      </c>
      <c r="C10" s="12">
        <v>38991</v>
      </c>
      <c r="D10" s="12">
        <v>44987</v>
      </c>
      <c r="E10" s="12">
        <v>46083</v>
      </c>
      <c r="F10" s="32" t="s">
        <v>101</v>
      </c>
      <c r="G10" s="24" t="s">
        <v>102</v>
      </c>
      <c r="H10" s="15" t="s">
        <v>103</v>
      </c>
      <c r="I10" s="32" t="s">
        <v>104</v>
      </c>
      <c r="J10" s="34" t="s">
        <v>105</v>
      </c>
      <c r="K10" s="16" t="s">
        <v>104</v>
      </c>
      <c r="L10" s="17"/>
      <c r="M10" s="17"/>
      <c r="N10" s="17"/>
      <c r="O10" s="17"/>
      <c r="P10" s="35" t="s">
        <v>106</v>
      </c>
      <c r="Q10" s="24" t="s">
        <v>107</v>
      </c>
      <c r="R10" s="20"/>
      <c r="S10" s="27"/>
      <c r="T10" s="22"/>
      <c r="U10" s="23"/>
      <c r="V10" s="22">
        <v>1</v>
      </c>
      <c r="W10" s="23">
        <v>1</v>
      </c>
      <c r="X10" s="22"/>
      <c r="Y10" s="23"/>
      <c r="Z10" s="22"/>
      <c r="AA10" s="23"/>
      <c r="AB10" s="22">
        <v>2</v>
      </c>
      <c r="AC10" s="23">
        <v>1</v>
      </c>
      <c r="AD10" s="22"/>
      <c r="AE10" s="23"/>
      <c r="AF10" s="22">
        <f t="shared" si="1"/>
        <v>3</v>
      </c>
      <c r="AG10" s="23">
        <f t="shared" si="0"/>
        <v>2</v>
      </c>
      <c r="AH10" s="24" t="s">
        <v>90</v>
      </c>
      <c r="AI10" s="25" t="s">
        <v>108</v>
      </c>
    </row>
    <row r="11" spans="1:35" ht="30" customHeight="1" x14ac:dyDescent="0.4">
      <c r="A11" s="26">
        <v>10</v>
      </c>
      <c r="B11" s="30" t="s">
        <v>109</v>
      </c>
      <c r="C11" s="12">
        <v>38991</v>
      </c>
      <c r="D11" s="12">
        <v>45198</v>
      </c>
      <c r="E11" s="12">
        <v>46293</v>
      </c>
      <c r="F11" s="32" t="s">
        <v>110</v>
      </c>
      <c r="G11" s="24" t="s">
        <v>111</v>
      </c>
      <c r="H11" s="15" t="s">
        <v>112</v>
      </c>
      <c r="I11" s="32" t="s">
        <v>113</v>
      </c>
      <c r="J11" s="16" t="s">
        <v>114</v>
      </c>
      <c r="K11" s="16" t="s">
        <v>113</v>
      </c>
      <c r="L11" s="17"/>
      <c r="M11" s="17"/>
      <c r="N11" s="17"/>
      <c r="O11" s="17"/>
      <c r="P11" s="14" t="s">
        <v>115</v>
      </c>
      <c r="Q11" s="24" t="s">
        <v>116</v>
      </c>
      <c r="R11" s="20"/>
      <c r="S11" s="27"/>
      <c r="T11" s="28"/>
      <c r="U11" s="29"/>
      <c r="V11" s="28">
        <v>2</v>
      </c>
      <c r="W11" s="29"/>
      <c r="X11" s="28"/>
      <c r="Y11" s="29"/>
      <c r="Z11" s="28"/>
      <c r="AA11" s="29"/>
      <c r="AB11" s="28">
        <v>2</v>
      </c>
      <c r="AC11" s="29"/>
      <c r="AD11" s="28"/>
      <c r="AE11" s="29"/>
      <c r="AF11" s="28">
        <f t="shared" si="1"/>
        <v>4</v>
      </c>
      <c r="AG11" s="29">
        <f t="shared" si="0"/>
        <v>0</v>
      </c>
      <c r="AH11" s="24" t="s">
        <v>62</v>
      </c>
      <c r="AI11" s="25" t="s">
        <v>117</v>
      </c>
    </row>
    <row r="12" spans="1:35" ht="30" customHeight="1" x14ac:dyDescent="0.2">
      <c r="A12" s="26">
        <v>11</v>
      </c>
      <c r="B12" s="30" t="s">
        <v>118</v>
      </c>
      <c r="C12" s="12">
        <v>38991</v>
      </c>
      <c r="D12" s="12">
        <v>44957</v>
      </c>
      <c r="E12" s="12">
        <v>46053</v>
      </c>
      <c r="F12" s="32" t="s">
        <v>119</v>
      </c>
      <c r="G12" s="36" t="s">
        <v>120</v>
      </c>
      <c r="H12" s="15" t="s">
        <v>121</v>
      </c>
      <c r="I12" s="32" t="s">
        <v>122</v>
      </c>
      <c r="J12" s="37" t="s">
        <v>119</v>
      </c>
      <c r="K12" s="38" t="s">
        <v>122</v>
      </c>
      <c r="L12" s="39"/>
      <c r="M12" s="39"/>
      <c r="N12" s="39"/>
      <c r="O12" s="39"/>
      <c r="P12" s="14" t="s">
        <v>123</v>
      </c>
      <c r="Q12" s="24" t="s">
        <v>124</v>
      </c>
      <c r="R12" s="36"/>
      <c r="S12" s="40"/>
      <c r="T12" s="22"/>
      <c r="U12" s="23"/>
      <c r="V12" s="22"/>
      <c r="W12" s="23"/>
      <c r="X12" s="22">
        <v>4</v>
      </c>
      <c r="Y12" s="23"/>
      <c r="Z12" s="22"/>
      <c r="AA12" s="23"/>
      <c r="AB12" s="22">
        <v>3</v>
      </c>
      <c r="AC12" s="23">
        <v>2</v>
      </c>
      <c r="AD12" s="22"/>
      <c r="AE12" s="23"/>
      <c r="AF12" s="22">
        <f t="shared" si="1"/>
        <v>7</v>
      </c>
      <c r="AG12" s="23">
        <f t="shared" si="0"/>
        <v>2</v>
      </c>
      <c r="AH12" s="24" t="s">
        <v>81</v>
      </c>
      <c r="AI12" s="25" t="s">
        <v>125</v>
      </c>
    </row>
    <row r="13" spans="1:35" ht="30" customHeight="1" x14ac:dyDescent="0.2">
      <c r="A13" s="26">
        <v>12</v>
      </c>
      <c r="B13" s="30" t="s">
        <v>126</v>
      </c>
      <c r="C13" s="12">
        <v>38991</v>
      </c>
      <c r="D13" s="12">
        <v>45005</v>
      </c>
      <c r="E13" s="12">
        <v>46112</v>
      </c>
      <c r="F13" s="32" t="s">
        <v>127</v>
      </c>
      <c r="G13" s="36" t="s">
        <v>128</v>
      </c>
      <c r="H13" s="15" t="s">
        <v>129</v>
      </c>
      <c r="I13" s="32" t="s">
        <v>130</v>
      </c>
      <c r="J13" s="38" t="s">
        <v>131</v>
      </c>
      <c r="K13" s="38" t="s">
        <v>130</v>
      </c>
      <c r="L13" s="39"/>
      <c r="M13" s="39"/>
      <c r="N13" s="39"/>
      <c r="O13" s="39"/>
      <c r="P13" s="14" t="s">
        <v>132</v>
      </c>
      <c r="Q13" s="24" t="s">
        <v>133</v>
      </c>
      <c r="R13" s="36"/>
      <c r="S13" s="40"/>
      <c r="T13" s="22"/>
      <c r="U13" s="23"/>
      <c r="V13" s="22">
        <v>2</v>
      </c>
      <c r="W13" s="23">
        <v>1</v>
      </c>
      <c r="X13" s="22"/>
      <c r="Y13" s="23"/>
      <c r="Z13" s="22"/>
      <c r="AA13" s="23"/>
      <c r="AB13" s="22">
        <v>6</v>
      </c>
      <c r="AC13" s="23">
        <v>4</v>
      </c>
      <c r="AD13" s="22"/>
      <c r="AE13" s="23"/>
      <c r="AF13" s="22">
        <f t="shared" si="1"/>
        <v>8</v>
      </c>
      <c r="AG13" s="23">
        <f t="shared" si="0"/>
        <v>5</v>
      </c>
      <c r="AH13" s="24" t="s">
        <v>62</v>
      </c>
    </row>
    <row r="14" spans="1:35" ht="30" customHeight="1" x14ac:dyDescent="0.2">
      <c r="A14" s="26">
        <v>13</v>
      </c>
      <c r="B14" s="30" t="s">
        <v>134</v>
      </c>
      <c r="C14" s="12">
        <v>38991</v>
      </c>
      <c r="D14" s="12">
        <v>45002</v>
      </c>
      <c r="E14" s="12">
        <v>46112</v>
      </c>
      <c r="F14" s="32" t="s">
        <v>135</v>
      </c>
      <c r="G14" s="24" t="s">
        <v>136</v>
      </c>
      <c r="H14" s="15" t="s">
        <v>137</v>
      </c>
      <c r="I14" s="32" t="s">
        <v>138</v>
      </c>
      <c r="J14" s="19" t="s">
        <v>135</v>
      </c>
      <c r="K14" s="16" t="s">
        <v>138</v>
      </c>
      <c r="L14" s="17"/>
      <c r="M14" s="17"/>
      <c r="N14" s="17"/>
      <c r="O14" s="17"/>
      <c r="P14" s="14" t="s">
        <v>139</v>
      </c>
      <c r="Q14" s="24" t="s">
        <v>140</v>
      </c>
      <c r="R14" s="24"/>
      <c r="S14" s="41"/>
      <c r="T14" s="28"/>
      <c r="U14" s="29"/>
      <c r="V14" s="28">
        <v>1</v>
      </c>
      <c r="W14" s="29">
        <v>1</v>
      </c>
      <c r="X14" s="28"/>
      <c r="Y14" s="29"/>
      <c r="Z14" s="28"/>
      <c r="AA14" s="29"/>
      <c r="AB14" s="28">
        <v>3</v>
      </c>
      <c r="AC14" s="29">
        <v>2</v>
      </c>
      <c r="AD14" s="28"/>
      <c r="AE14" s="29"/>
      <c r="AF14" s="28">
        <f t="shared" si="1"/>
        <v>4</v>
      </c>
      <c r="AG14" s="29">
        <f t="shared" si="0"/>
        <v>3</v>
      </c>
      <c r="AH14" s="24" t="s">
        <v>81</v>
      </c>
    </row>
    <row r="15" spans="1:35" ht="30" customHeight="1" x14ac:dyDescent="0.2">
      <c r="A15" s="26">
        <v>15</v>
      </c>
      <c r="B15" s="30" t="s">
        <v>141</v>
      </c>
      <c r="C15" s="12">
        <v>38991</v>
      </c>
      <c r="D15" s="12">
        <v>45002</v>
      </c>
      <c r="E15" s="12">
        <v>46112</v>
      </c>
      <c r="F15" s="32" t="s">
        <v>142</v>
      </c>
      <c r="G15" s="24" t="s">
        <v>143</v>
      </c>
      <c r="H15" s="15" t="s">
        <v>144</v>
      </c>
      <c r="I15" s="32" t="s">
        <v>145</v>
      </c>
      <c r="J15" s="19" t="s">
        <v>146</v>
      </c>
      <c r="K15" s="16" t="s">
        <v>145</v>
      </c>
      <c r="L15" s="17"/>
      <c r="M15" s="17"/>
      <c r="N15" s="17"/>
      <c r="O15" s="17"/>
      <c r="P15" s="14" t="s">
        <v>147</v>
      </c>
      <c r="Q15" s="24" t="s">
        <v>148</v>
      </c>
      <c r="R15" s="24"/>
      <c r="S15" s="41"/>
      <c r="T15" s="28"/>
      <c r="U15" s="29"/>
      <c r="V15" s="28">
        <v>4</v>
      </c>
      <c r="W15" s="29">
        <v>3</v>
      </c>
      <c r="X15" s="28"/>
      <c r="Y15" s="29"/>
      <c r="Z15" s="28"/>
      <c r="AA15" s="29"/>
      <c r="AB15" s="28"/>
      <c r="AC15" s="29"/>
      <c r="AD15" s="28"/>
      <c r="AE15" s="29"/>
      <c r="AF15" s="28">
        <f t="shared" si="1"/>
        <v>4</v>
      </c>
      <c r="AG15" s="29">
        <f t="shared" si="0"/>
        <v>3</v>
      </c>
      <c r="AH15" s="24" t="s">
        <v>62</v>
      </c>
    </row>
    <row r="16" spans="1:35" ht="30" customHeight="1" x14ac:dyDescent="0.2">
      <c r="A16" s="26">
        <v>16</v>
      </c>
      <c r="B16" s="30" t="s">
        <v>149</v>
      </c>
      <c r="C16" s="12">
        <v>38991</v>
      </c>
      <c r="D16" s="12">
        <v>45014</v>
      </c>
      <c r="E16" s="12">
        <v>46112</v>
      </c>
      <c r="F16" s="32" t="s">
        <v>150</v>
      </c>
      <c r="G16" s="24" t="s">
        <v>151</v>
      </c>
      <c r="H16" s="15" t="s">
        <v>152</v>
      </c>
      <c r="I16" s="32" t="s">
        <v>153</v>
      </c>
      <c r="J16" s="19" t="s">
        <v>154</v>
      </c>
      <c r="K16" s="16" t="s">
        <v>155</v>
      </c>
      <c r="L16" s="17" t="s">
        <v>156</v>
      </c>
      <c r="M16" s="17" t="s">
        <v>157</v>
      </c>
      <c r="N16" s="17" t="s">
        <v>158</v>
      </c>
      <c r="O16" s="17" t="s">
        <v>159</v>
      </c>
      <c r="P16" s="42" t="s">
        <v>160</v>
      </c>
      <c r="Q16" s="24" t="s">
        <v>161</v>
      </c>
      <c r="R16" s="24"/>
      <c r="S16" s="41"/>
      <c r="T16" s="22"/>
      <c r="U16" s="23"/>
      <c r="V16" s="22">
        <v>2</v>
      </c>
      <c r="W16" s="23">
        <v>1</v>
      </c>
      <c r="X16" s="22"/>
      <c r="Y16" s="23"/>
      <c r="Z16" s="22"/>
      <c r="AA16" s="23"/>
      <c r="AB16" s="22">
        <v>3</v>
      </c>
      <c r="AC16" s="23">
        <v>3</v>
      </c>
      <c r="AD16" s="22"/>
      <c r="AE16" s="23"/>
      <c r="AF16" s="22">
        <f t="shared" si="1"/>
        <v>5</v>
      </c>
      <c r="AG16" s="23">
        <f>SUM(U16,W16,Y16,AA16,AC16)</f>
        <v>4</v>
      </c>
      <c r="AH16" s="24" t="s">
        <v>81</v>
      </c>
    </row>
    <row r="17" spans="1:34" ht="30" customHeight="1" x14ac:dyDescent="0.2">
      <c r="A17" s="26"/>
      <c r="B17" s="30" t="s">
        <v>162</v>
      </c>
      <c r="C17" s="12">
        <v>38991</v>
      </c>
      <c r="D17" s="12">
        <v>45014</v>
      </c>
      <c r="E17" s="12">
        <v>46112</v>
      </c>
      <c r="F17" s="32" t="s">
        <v>150</v>
      </c>
      <c r="G17" s="24" t="s">
        <v>151</v>
      </c>
      <c r="H17" s="15" t="s">
        <v>152</v>
      </c>
      <c r="I17" s="32" t="s">
        <v>153</v>
      </c>
      <c r="J17" s="43" t="s">
        <v>163</v>
      </c>
      <c r="K17" s="16" t="s">
        <v>157</v>
      </c>
      <c r="L17" s="17" t="s">
        <v>156</v>
      </c>
      <c r="M17" s="17" t="s">
        <v>157</v>
      </c>
      <c r="N17" s="17" t="s">
        <v>158</v>
      </c>
      <c r="O17" s="17" t="s">
        <v>159</v>
      </c>
      <c r="P17" s="42" t="s">
        <v>160</v>
      </c>
      <c r="Q17" s="24" t="s">
        <v>161</v>
      </c>
      <c r="R17" s="24"/>
      <c r="S17" s="41"/>
      <c r="T17" s="28"/>
      <c r="U17" s="29"/>
      <c r="V17" s="28">
        <v>2</v>
      </c>
      <c r="W17" s="29">
        <v>2</v>
      </c>
      <c r="X17" s="28"/>
      <c r="Y17" s="29"/>
      <c r="Z17" s="28"/>
      <c r="AA17" s="29"/>
      <c r="AB17" s="28">
        <v>1</v>
      </c>
      <c r="AC17" s="29">
        <v>1</v>
      </c>
      <c r="AD17" s="28"/>
      <c r="AE17" s="29"/>
      <c r="AF17" s="28">
        <f t="shared" si="1"/>
        <v>3</v>
      </c>
      <c r="AG17" s="29">
        <f>SUM(U17,W17,Y17,AA17,AC17)</f>
        <v>3</v>
      </c>
      <c r="AH17" s="24" t="s">
        <v>81</v>
      </c>
    </row>
    <row r="18" spans="1:34" ht="30" customHeight="1" x14ac:dyDescent="0.2">
      <c r="A18" s="26"/>
      <c r="B18" s="30" t="s">
        <v>164</v>
      </c>
      <c r="C18" s="12">
        <v>38991</v>
      </c>
      <c r="D18" s="12">
        <v>45014</v>
      </c>
      <c r="E18" s="12">
        <v>46112</v>
      </c>
      <c r="F18" s="32" t="s">
        <v>150</v>
      </c>
      <c r="G18" s="24" t="s">
        <v>151</v>
      </c>
      <c r="H18" s="15" t="s">
        <v>152</v>
      </c>
      <c r="I18" s="32" t="s">
        <v>153</v>
      </c>
      <c r="J18" s="19" t="s">
        <v>165</v>
      </c>
      <c r="K18" s="16" t="s">
        <v>159</v>
      </c>
      <c r="L18" s="17" t="s">
        <v>156</v>
      </c>
      <c r="M18" s="17" t="s">
        <v>157</v>
      </c>
      <c r="N18" s="17" t="s">
        <v>158</v>
      </c>
      <c r="O18" s="17" t="s">
        <v>159</v>
      </c>
      <c r="P18" s="42" t="s">
        <v>160</v>
      </c>
      <c r="Q18" s="24" t="s">
        <v>161</v>
      </c>
      <c r="R18" s="24"/>
      <c r="S18" s="41"/>
      <c r="T18" s="22"/>
      <c r="U18" s="23"/>
      <c r="V18" s="22">
        <v>1</v>
      </c>
      <c r="W18" s="23">
        <v>-3</v>
      </c>
      <c r="X18" s="22">
        <v>1</v>
      </c>
      <c r="Y18" s="23">
        <v>-1</v>
      </c>
      <c r="Z18" s="22"/>
      <c r="AA18" s="23"/>
      <c r="AB18" s="22">
        <v>1</v>
      </c>
      <c r="AC18" s="23">
        <v>-4</v>
      </c>
      <c r="AD18" s="22"/>
      <c r="AE18" s="23"/>
      <c r="AF18" s="22">
        <f t="shared" si="1"/>
        <v>3</v>
      </c>
      <c r="AG18" s="23">
        <f>SUM(U18,W18,Y18,AA18,AC18)</f>
        <v>-8</v>
      </c>
      <c r="AH18" s="24" t="s">
        <v>81</v>
      </c>
    </row>
    <row r="19" spans="1:34" ht="30" customHeight="1" x14ac:dyDescent="0.2">
      <c r="A19" s="26">
        <v>17</v>
      </c>
      <c r="B19" s="30" t="s">
        <v>166</v>
      </c>
      <c r="C19" s="12">
        <v>38991</v>
      </c>
      <c r="D19" s="12">
        <v>44981</v>
      </c>
      <c r="E19" s="12">
        <v>46116</v>
      </c>
      <c r="F19" s="32" t="s">
        <v>167</v>
      </c>
      <c r="G19" s="24" t="s">
        <v>168</v>
      </c>
      <c r="H19" s="15" t="s">
        <v>169</v>
      </c>
      <c r="I19" s="32" t="s">
        <v>170</v>
      </c>
      <c r="J19" s="16" t="s">
        <v>171</v>
      </c>
      <c r="K19" s="16" t="s">
        <v>172</v>
      </c>
      <c r="L19" s="17"/>
      <c r="M19" s="17"/>
      <c r="N19" s="17"/>
      <c r="O19" s="17"/>
      <c r="P19" s="14" t="s">
        <v>173</v>
      </c>
      <c r="Q19" s="24" t="s">
        <v>174</v>
      </c>
      <c r="R19" s="24"/>
      <c r="S19" s="41"/>
      <c r="T19" s="28"/>
      <c r="U19" s="29"/>
      <c r="V19" s="28">
        <v>1</v>
      </c>
      <c r="W19" s="29">
        <v>1</v>
      </c>
      <c r="X19" s="28"/>
      <c r="Y19" s="29"/>
      <c r="Z19" s="28">
        <v>2</v>
      </c>
      <c r="AA19" s="29">
        <v>2</v>
      </c>
      <c r="AB19" s="28"/>
      <c r="AC19" s="29"/>
      <c r="AD19" s="28"/>
      <c r="AE19" s="29"/>
      <c r="AF19" s="28">
        <f t="shared" si="1"/>
        <v>3</v>
      </c>
      <c r="AG19" s="29">
        <f t="shared" si="0"/>
        <v>3</v>
      </c>
      <c r="AH19" s="24" t="s">
        <v>90</v>
      </c>
    </row>
    <row r="20" spans="1:34" ht="30" customHeight="1" x14ac:dyDescent="0.2">
      <c r="A20" s="26">
        <v>18</v>
      </c>
      <c r="B20" s="30" t="s">
        <v>175</v>
      </c>
      <c r="C20" s="12">
        <v>38991</v>
      </c>
      <c r="D20" s="12">
        <v>43920</v>
      </c>
      <c r="E20" s="12">
        <v>46116</v>
      </c>
      <c r="F20" s="32" t="s">
        <v>176</v>
      </c>
      <c r="G20" s="24" t="s">
        <v>177</v>
      </c>
      <c r="H20" s="15" t="s">
        <v>178</v>
      </c>
      <c r="I20" s="32" t="s">
        <v>179</v>
      </c>
      <c r="J20" s="16" t="s">
        <v>180</v>
      </c>
      <c r="K20" s="16" t="s">
        <v>179</v>
      </c>
      <c r="L20" s="17"/>
      <c r="M20" s="17"/>
      <c r="N20" s="17"/>
      <c r="O20" s="17"/>
      <c r="P20" s="42" t="s">
        <v>181</v>
      </c>
      <c r="Q20" s="24" t="s">
        <v>182</v>
      </c>
      <c r="R20" s="24"/>
      <c r="S20" s="41"/>
      <c r="T20" s="28"/>
      <c r="U20" s="29"/>
      <c r="V20" s="28">
        <v>3</v>
      </c>
      <c r="W20" s="29"/>
      <c r="X20" s="28">
        <v>1</v>
      </c>
      <c r="Y20" s="29"/>
      <c r="Z20" s="28"/>
      <c r="AA20" s="29"/>
      <c r="AB20" s="28"/>
      <c r="AC20" s="29"/>
      <c r="AD20" s="28"/>
      <c r="AE20" s="29"/>
      <c r="AF20" s="28">
        <f t="shared" si="1"/>
        <v>4</v>
      </c>
      <c r="AG20" s="29">
        <f t="shared" si="0"/>
        <v>0</v>
      </c>
      <c r="AH20" s="24" t="s">
        <v>81</v>
      </c>
    </row>
    <row r="21" spans="1:34" ht="30" customHeight="1" x14ac:dyDescent="0.2">
      <c r="A21" s="26">
        <v>19</v>
      </c>
      <c r="B21" s="30" t="s">
        <v>183</v>
      </c>
      <c r="C21" s="12">
        <v>38991</v>
      </c>
      <c r="D21" s="12">
        <v>44990</v>
      </c>
      <c r="E21" s="12">
        <v>46112</v>
      </c>
      <c r="F21" s="32" t="s">
        <v>184</v>
      </c>
      <c r="G21" s="24" t="s">
        <v>185</v>
      </c>
      <c r="H21" s="15" t="s">
        <v>186</v>
      </c>
      <c r="I21" s="32" t="s">
        <v>187</v>
      </c>
      <c r="J21" s="19" t="s">
        <v>184</v>
      </c>
      <c r="K21" s="16" t="s">
        <v>187</v>
      </c>
      <c r="L21" s="17"/>
      <c r="M21" s="17"/>
      <c r="N21" s="17"/>
      <c r="O21" s="17"/>
      <c r="P21" s="14" t="s">
        <v>188</v>
      </c>
      <c r="Q21" s="24" t="s">
        <v>189</v>
      </c>
      <c r="R21" s="24"/>
      <c r="S21" s="41"/>
      <c r="T21" s="22"/>
      <c r="U21" s="23"/>
      <c r="V21" s="22">
        <v>1</v>
      </c>
      <c r="W21" s="23">
        <v>1</v>
      </c>
      <c r="X21" s="22">
        <v>5</v>
      </c>
      <c r="Y21" s="23"/>
      <c r="Z21" s="22"/>
      <c r="AA21" s="23"/>
      <c r="AB21" s="22">
        <v>4</v>
      </c>
      <c r="AC21" s="23">
        <v>3</v>
      </c>
      <c r="AD21" s="22"/>
      <c r="AE21" s="23"/>
      <c r="AF21" s="22">
        <f t="shared" si="1"/>
        <v>10</v>
      </c>
      <c r="AG21" s="23">
        <f t="shared" si="0"/>
        <v>4</v>
      </c>
      <c r="AH21" s="24" t="s">
        <v>81</v>
      </c>
    </row>
    <row r="22" spans="1:34" ht="30" customHeight="1" x14ac:dyDescent="0.2">
      <c r="A22" s="26">
        <v>20</v>
      </c>
      <c r="B22" s="30" t="s">
        <v>190</v>
      </c>
      <c r="C22" s="12">
        <v>39885</v>
      </c>
      <c r="D22" s="12">
        <v>45002</v>
      </c>
      <c r="E22" s="12">
        <v>46112</v>
      </c>
      <c r="F22" s="32" t="s">
        <v>191</v>
      </c>
      <c r="G22" s="24" t="s">
        <v>192</v>
      </c>
      <c r="H22" s="15" t="s">
        <v>193</v>
      </c>
      <c r="I22" s="32" t="s">
        <v>194</v>
      </c>
      <c r="J22" s="43" t="s">
        <v>195</v>
      </c>
      <c r="K22" s="16" t="s">
        <v>194</v>
      </c>
      <c r="L22" s="17" t="s">
        <v>196</v>
      </c>
      <c r="M22" s="17" t="s">
        <v>197</v>
      </c>
      <c r="N22" s="17"/>
      <c r="O22" s="17"/>
      <c r="P22" s="14" t="s">
        <v>198</v>
      </c>
      <c r="Q22" s="24" t="s">
        <v>199</v>
      </c>
      <c r="R22" s="24"/>
      <c r="S22" s="41"/>
      <c r="T22" s="28"/>
      <c r="U22" s="29"/>
      <c r="V22" s="28">
        <v>1</v>
      </c>
      <c r="W22" s="29"/>
      <c r="X22" s="28"/>
      <c r="Y22" s="29"/>
      <c r="Z22" s="28">
        <v>1</v>
      </c>
      <c r="AA22" s="29">
        <v>1</v>
      </c>
      <c r="AB22" s="28">
        <v>2</v>
      </c>
      <c r="AC22" s="29">
        <v>1</v>
      </c>
      <c r="AD22" s="28"/>
      <c r="AE22" s="29"/>
      <c r="AF22" s="28">
        <f t="shared" si="1"/>
        <v>4</v>
      </c>
      <c r="AG22" s="29">
        <f t="shared" si="0"/>
        <v>2</v>
      </c>
      <c r="AH22" s="24" t="s">
        <v>81</v>
      </c>
    </row>
    <row r="23" spans="1:34" ht="30" customHeight="1" x14ac:dyDescent="0.2">
      <c r="A23" s="26"/>
      <c r="B23" s="30" t="s">
        <v>200</v>
      </c>
      <c r="C23" s="12">
        <v>39885</v>
      </c>
      <c r="D23" s="12">
        <v>45002</v>
      </c>
      <c r="E23" s="12">
        <v>46112</v>
      </c>
      <c r="F23" s="32" t="s">
        <v>191</v>
      </c>
      <c r="G23" s="24" t="s">
        <v>192</v>
      </c>
      <c r="H23" s="15" t="s">
        <v>193</v>
      </c>
      <c r="I23" s="32" t="s">
        <v>194</v>
      </c>
      <c r="J23" s="34" t="s">
        <v>196</v>
      </c>
      <c r="K23" s="16" t="s">
        <v>197</v>
      </c>
      <c r="L23" s="17" t="s">
        <v>196</v>
      </c>
      <c r="M23" s="17" t="s">
        <v>197</v>
      </c>
      <c r="N23" s="17"/>
      <c r="O23" s="17"/>
      <c r="P23" s="14" t="s">
        <v>198</v>
      </c>
      <c r="Q23" s="24" t="s">
        <v>199</v>
      </c>
      <c r="R23" s="24"/>
      <c r="S23" s="41"/>
      <c r="T23" s="28"/>
      <c r="U23" s="29"/>
      <c r="V23" s="28">
        <v>1</v>
      </c>
      <c r="W23" s="29"/>
      <c r="X23" s="28"/>
      <c r="Y23" s="29"/>
      <c r="Z23" s="28"/>
      <c r="AA23" s="29">
        <v>-1</v>
      </c>
      <c r="AB23" s="28">
        <v>2</v>
      </c>
      <c r="AC23" s="29">
        <v>-1</v>
      </c>
      <c r="AD23" s="28"/>
      <c r="AE23" s="29"/>
      <c r="AF23" s="28">
        <f t="shared" si="1"/>
        <v>3</v>
      </c>
      <c r="AG23" s="29">
        <f t="shared" si="0"/>
        <v>-2</v>
      </c>
      <c r="AH23" s="24" t="s">
        <v>81</v>
      </c>
    </row>
    <row r="24" spans="1:34" ht="30" customHeight="1" x14ac:dyDescent="0.2">
      <c r="A24" s="26">
        <v>21</v>
      </c>
      <c r="B24" s="30" t="s">
        <v>201</v>
      </c>
      <c r="C24" s="12">
        <v>40108</v>
      </c>
      <c r="D24" s="12">
        <v>45181</v>
      </c>
      <c r="E24" s="12">
        <v>46316</v>
      </c>
      <c r="F24" s="32" t="s">
        <v>202</v>
      </c>
      <c r="G24" s="24" t="s">
        <v>203</v>
      </c>
      <c r="H24" s="15" t="s">
        <v>204</v>
      </c>
      <c r="I24" s="32" t="s">
        <v>205</v>
      </c>
      <c r="J24" s="16" t="s">
        <v>206</v>
      </c>
      <c r="K24" s="16" t="s">
        <v>205</v>
      </c>
      <c r="L24" s="17"/>
      <c r="M24" s="17"/>
      <c r="N24" s="17"/>
      <c r="O24" s="17"/>
      <c r="P24" s="14" t="s">
        <v>70</v>
      </c>
      <c r="Q24" s="24" t="s">
        <v>51</v>
      </c>
      <c r="R24" s="24"/>
      <c r="S24" s="41"/>
      <c r="T24" s="22"/>
      <c r="U24" s="23"/>
      <c r="V24" s="22">
        <v>3</v>
      </c>
      <c r="W24" s="23">
        <v>3</v>
      </c>
      <c r="X24" s="22"/>
      <c r="Y24" s="23"/>
      <c r="Z24" s="22"/>
      <c r="AA24" s="23"/>
      <c r="AB24" s="22">
        <v>9</v>
      </c>
      <c r="AC24" s="23">
        <v>8</v>
      </c>
      <c r="AD24" s="22"/>
      <c r="AE24" s="23"/>
      <c r="AF24" s="22">
        <f t="shared" si="1"/>
        <v>12</v>
      </c>
      <c r="AG24" s="23">
        <f t="shared" si="0"/>
        <v>11</v>
      </c>
      <c r="AH24" s="24" t="s">
        <v>62</v>
      </c>
    </row>
    <row r="25" spans="1:34" ht="30" customHeight="1" x14ac:dyDescent="0.2">
      <c r="A25" s="26">
        <v>22</v>
      </c>
      <c r="B25" s="30" t="s">
        <v>207</v>
      </c>
      <c r="C25" s="12">
        <v>40464</v>
      </c>
      <c r="D25" s="12">
        <v>44480</v>
      </c>
      <c r="E25" s="12">
        <v>45577</v>
      </c>
      <c r="F25" s="32" t="s">
        <v>208</v>
      </c>
      <c r="G25" s="24" t="s">
        <v>209</v>
      </c>
      <c r="H25" s="15" t="s">
        <v>210</v>
      </c>
      <c r="I25" s="32" t="s">
        <v>211</v>
      </c>
      <c r="J25" s="16" t="s">
        <v>212</v>
      </c>
      <c r="K25" s="16" t="s">
        <v>211</v>
      </c>
      <c r="L25" s="17"/>
      <c r="M25" s="17"/>
      <c r="N25" s="17"/>
      <c r="O25" s="17"/>
      <c r="P25" s="14" t="s">
        <v>213</v>
      </c>
      <c r="Q25" s="24" t="s">
        <v>214</v>
      </c>
      <c r="R25" s="24"/>
      <c r="S25" s="41"/>
      <c r="T25" s="28"/>
      <c r="U25" s="29"/>
      <c r="V25" s="28">
        <v>2</v>
      </c>
      <c r="W25" s="29">
        <v>2</v>
      </c>
      <c r="X25" s="28">
        <v>3</v>
      </c>
      <c r="Y25" s="29"/>
      <c r="Z25" s="28"/>
      <c r="AA25" s="29"/>
      <c r="AB25" s="28">
        <v>4</v>
      </c>
      <c r="AC25" s="29"/>
      <c r="AD25" s="28"/>
      <c r="AE25" s="29"/>
      <c r="AF25" s="28">
        <f t="shared" si="1"/>
        <v>9</v>
      </c>
      <c r="AG25" s="29">
        <f t="shared" si="0"/>
        <v>2</v>
      </c>
      <c r="AH25" s="24" t="s">
        <v>81</v>
      </c>
    </row>
    <row r="26" spans="1:34" ht="30" customHeight="1" x14ac:dyDescent="0.2">
      <c r="A26" s="26">
        <v>23</v>
      </c>
      <c r="B26" s="30" t="s">
        <v>215</v>
      </c>
      <c r="C26" s="12">
        <v>40966</v>
      </c>
      <c r="D26" s="12">
        <v>44985</v>
      </c>
      <c r="E26" s="12">
        <v>46081</v>
      </c>
      <c r="F26" s="32" t="s">
        <v>216</v>
      </c>
      <c r="G26" s="24" t="s">
        <v>217</v>
      </c>
      <c r="H26" s="15" t="s">
        <v>218</v>
      </c>
      <c r="I26" s="32" t="s">
        <v>219</v>
      </c>
      <c r="J26" s="16" t="s">
        <v>220</v>
      </c>
      <c r="K26" s="16" t="s">
        <v>221</v>
      </c>
      <c r="L26" s="17"/>
      <c r="M26" s="17"/>
      <c r="N26" s="17"/>
      <c r="O26" s="17"/>
      <c r="P26" s="14" t="s">
        <v>132</v>
      </c>
      <c r="Q26" s="24" t="s">
        <v>222</v>
      </c>
      <c r="R26" s="24"/>
      <c r="S26" s="41"/>
      <c r="T26" s="22"/>
      <c r="U26" s="23"/>
      <c r="V26" s="22">
        <v>1</v>
      </c>
      <c r="W26" s="23">
        <v>1</v>
      </c>
      <c r="X26" s="22"/>
      <c r="Y26" s="23"/>
      <c r="Z26" s="22"/>
      <c r="AA26" s="23"/>
      <c r="AB26" s="22">
        <v>1</v>
      </c>
      <c r="AC26" s="23">
        <v>1</v>
      </c>
      <c r="AD26" s="22"/>
      <c r="AE26" s="23"/>
      <c r="AF26" s="22">
        <f t="shared" si="1"/>
        <v>2</v>
      </c>
      <c r="AG26" s="23">
        <f t="shared" si="0"/>
        <v>2</v>
      </c>
      <c r="AH26" s="24" t="s">
        <v>90</v>
      </c>
    </row>
    <row r="27" spans="1:34" ht="30" customHeight="1" x14ac:dyDescent="0.2">
      <c r="A27" s="26">
        <v>24</v>
      </c>
      <c r="B27" s="30" t="s">
        <v>223</v>
      </c>
      <c r="C27" s="12">
        <v>41362</v>
      </c>
      <c r="D27" s="12">
        <v>44279</v>
      </c>
      <c r="E27" s="12">
        <v>45382</v>
      </c>
      <c r="F27" s="32" t="s">
        <v>224</v>
      </c>
      <c r="G27" s="24" t="s">
        <v>225</v>
      </c>
      <c r="H27" s="15" t="s">
        <v>226</v>
      </c>
      <c r="I27" s="32" t="s">
        <v>227</v>
      </c>
      <c r="J27" s="19" t="s">
        <v>228</v>
      </c>
      <c r="K27" s="32" t="s">
        <v>227</v>
      </c>
      <c r="L27" s="17"/>
      <c r="M27" s="17"/>
      <c r="N27" s="17"/>
      <c r="O27" s="17"/>
      <c r="P27" s="14" t="s">
        <v>229</v>
      </c>
      <c r="Q27" s="24" t="s">
        <v>107</v>
      </c>
      <c r="R27" s="24"/>
      <c r="S27" s="41"/>
      <c r="T27" s="28"/>
      <c r="U27" s="29"/>
      <c r="V27" s="28"/>
      <c r="W27" s="29"/>
      <c r="X27" s="28"/>
      <c r="Y27" s="29"/>
      <c r="Z27" s="28">
        <v>1</v>
      </c>
      <c r="AA27" s="29">
        <v>1</v>
      </c>
      <c r="AB27" s="28">
        <v>2</v>
      </c>
      <c r="AC27" s="29">
        <v>2</v>
      </c>
      <c r="AD27" s="28"/>
      <c r="AE27" s="29"/>
      <c r="AF27" s="28">
        <f t="shared" si="1"/>
        <v>3</v>
      </c>
      <c r="AG27" s="29">
        <f t="shared" si="0"/>
        <v>3</v>
      </c>
      <c r="AH27" s="24" t="s">
        <v>62</v>
      </c>
    </row>
    <row r="28" spans="1:34" ht="30" customHeight="1" x14ac:dyDescent="0.2">
      <c r="A28" s="26">
        <v>25</v>
      </c>
      <c r="B28" s="30" t="s">
        <v>230</v>
      </c>
      <c r="C28" s="12">
        <v>41593</v>
      </c>
      <c r="D28" s="12">
        <v>44490</v>
      </c>
      <c r="E28" s="12">
        <v>45610</v>
      </c>
      <c r="F28" s="32" t="s">
        <v>231</v>
      </c>
      <c r="G28" s="24" t="s">
        <v>232</v>
      </c>
      <c r="H28" s="15" t="s">
        <v>233</v>
      </c>
      <c r="I28" s="32" t="s">
        <v>234</v>
      </c>
      <c r="J28" s="16" t="s">
        <v>235</v>
      </c>
      <c r="K28" s="16" t="s">
        <v>236</v>
      </c>
      <c r="L28" s="17"/>
      <c r="M28" s="17"/>
      <c r="N28" s="17"/>
      <c r="O28" s="17"/>
      <c r="P28" s="14" t="s">
        <v>70</v>
      </c>
      <c r="Q28" s="24" t="s">
        <v>237</v>
      </c>
      <c r="R28" s="24"/>
      <c r="S28" s="41"/>
      <c r="T28" s="22"/>
      <c r="U28" s="23"/>
      <c r="V28" s="22">
        <v>2</v>
      </c>
      <c r="W28" s="23">
        <v>2</v>
      </c>
      <c r="X28" s="22"/>
      <c r="Y28" s="23"/>
      <c r="Z28" s="22"/>
      <c r="AA28" s="23"/>
      <c r="AB28" s="22"/>
      <c r="AC28" s="23"/>
      <c r="AD28" s="22"/>
      <c r="AE28" s="23"/>
      <c r="AF28" s="22">
        <f t="shared" si="1"/>
        <v>2</v>
      </c>
      <c r="AG28" s="23">
        <f t="shared" si="0"/>
        <v>2</v>
      </c>
      <c r="AH28" s="24" t="s">
        <v>81</v>
      </c>
    </row>
    <row r="29" spans="1:34" ht="30" customHeight="1" x14ac:dyDescent="0.2">
      <c r="A29" s="26">
        <v>26</v>
      </c>
      <c r="B29" s="30" t="s">
        <v>238</v>
      </c>
      <c r="C29" s="12">
        <v>42445</v>
      </c>
      <c r="D29" s="12">
        <v>45309</v>
      </c>
      <c r="E29" s="12">
        <v>46461</v>
      </c>
      <c r="F29" s="32" t="s">
        <v>239</v>
      </c>
      <c r="G29" s="24" t="s">
        <v>240</v>
      </c>
      <c r="H29" s="15" t="s">
        <v>241</v>
      </c>
      <c r="I29" s="32" t="s">
        <v>242</v>
      </c>
      <c r="J29" s="19" t="s">
        <v>239</v>
      </c>
      <c r="K29" s="16" t="s">
        <v>242</v>
      </c>
      <c r="L29" s="17"/>
      <c r="M29" s="17"/>
      <c r="N29" s="17"/>
      <c r="O29" s="17"/>
      <c r="P29" s="14" t="s">
        <v>243</v>
      </c>
      <c r="Q29" s="24" t="s">
        <v>189</v>
      </c>
      <c r="R29" s="24"/>
      <c r="S29" s="41"/>
      <c r="T29" s="28"/>
      <c r="U29" s="29"/>
      <c r="V29" s="28">
        <v>1</v>
      </c>
      <c r="W29" s="29"/>
      <c r="X29" s="28"/>
      <c r="Y29" s="29"/>
      <c r="Z29" s="28"/>
      <c r="AA29" s="29"/>
      <c r="AB29" s="28">
        <v>1</v>
      </c>
      <c r="AC29" s="29"/>
      <c r="AD29" s="28"/>
      <c r="AE29" s="29"/>
      <c r="AF29" s="28">
        <f t="shared" si="1"/>
        <v>2</v>
      </c>
      <c r="AG29" s="29">
        <f t="shared" si="0"/>
        <v>0</v>
      </c>
      <c r="AH29" s="24" t="s">
        <v>62</v>
      </c>
    </row>
    <row r="30" spans="1:34" ht="30" customHeight="1" x14ac:dyDescent="0.2">
      <c r="A30" s="26">
        <v>27</v>
      </c>
      <c r="B30" s="30" t="s">
        <v>244</v>
      </c>
      <c r="C30" s="12">
        <v>42468</v>
      </c>
      <c r="D30" s="12">
        <v>44279</v>
      </c>
      <c r="E30" s="12">
        <v>45389</v>
      </c>
      <c r="F30" s="32" t="s">
        <v>245</v>
      </c>
      <c r="G30" s="24" t="s">
        <v>246</v>
      </c>
      <c r="H30" s="15" t="s">
        <v>247</v>
      </c>
      <c r="I30" s="32" t="s">
        <v>248</v>
      </c>
      <c r="J30" s="19" t="s">
        <v>249</v>
      </c>
      <c r="K30" s="16" t="s">
        <v>250</v>
      </c>
      <c r="L30" s="17"/>
      <c r="M30" s="17"/>
      <c r="N30" s="17"/>
      <c r="O30" s="17"/>
      <c r="P30" s="14" t="s">
        <v>229</v>
      </c>
      <c r="Q30" s="24" t="s">
        <v>80</v>
      </c>
      <c r="R30" s="24"/>
      <c r="S30" s="41"/>
      <c r="T30" s="28"/>
      <c r="U30" s="29"/>
      <c r="V30" s="28"/>
      <c r="W30" s="29"/>
      <c r="X30" s="28"/>
      <c r="Y30" s="29"/>
      <c r="Z30" s="28"/>
      <c r="AA30" s="29"/>
      <c r="AB30" s="28">
        <v>4</v>
      </c>
      <c r="AC30" s="29">
        <v>4</v>
      </c>
      <c r="AD30" s="28"/>
      <c r="AE30" s="29"/>
      <c r="AF30" s="28">
        <f t="shared" si="1"/>
        <v>4</v>
      </c>
      <c r="AG30" s="29">
        <f t="shared" si="0"/>
        <v>4</v>
      </c>
      <c r="AH30" s="24" t="s">
        <v>62</v>
      </c>
    </row>
    <row r="31" spans="1:34" ht="30" customHeight="1" x14ac:dyDescent="0.2">
      <c r="A31" s="26">
        <v>28</v>
      </c>
      <c r="B31" s="44" t="s">
        <v>251</v>
      </c>
      <c r="C31" s="12">
        <v>42751</v>
      </c>
      <c r="D31" s="12">
        <v>44574</v>
      </c>
      <c r="E31" s="12">
        <v>45672</v>
      </c>
      <c r="F31" s="32" t="s">
        <v>252</v>
      </c>
      <c r="G31" s="24" t="s">
        <v>253</v>
      </c>
      <c r="H31" s="15" t="s">
        <v>254</v>
      </c>
      <c r="I31" s="32" t="s">
        <v>255</v>
      </c>
      <c r="J31" s="16" t="s">
        <v>256</v>
      </c>
      <c r="K31" s="16" t="s">
        <v>257</v>
      </c>
      <c r="L31" s="17"/>
      <c r="M31" s="17"/>
      <c r="N31" s="17"/>
      <c r="O31" s="17"/>
      <c r="P31" s="14" t="s">
        <v>258</v>
      </c>
      <c r="Q31" s="24" t="s">
        <v>259</v>
      </c>
      <c r="R31" s="24"/>
      <c r="S31" s="41"/>
      <c r="T31" s="28"/>
      <c r="U31" s="29"/>
      <c r="V31" s="28">
        <v>2</v>
      </c>
      <c r="W31" s="29">
        <v>1</v>
      </c>
      <c r="X31" s="28"/>
      <c r="Y31" s="29"/>
      <c r="Z31" s="28"/>
      <c r="AA31" s="29"/>
      <c r="AB31" s="28">
        <v>5</v>
      </c>
      <c r="AC31" s="29">
        <v>5</v>
      </c>
      <c r="AD31" s="28"/>
      <c r="AE31" s="29"/>
      <c r="AF31" s="28">
        <f t="shared" si="1"/>
        <v>7</v>
      </c>
      <c r="AG31" s="29">
        <f t="shared" si="0"/>
        <v>6</v>
      </c>
      <c r="AH31" s="24" t="s">
        <v>81</v>
      </c>
    </row>
    <row r="32" spans="1:34" ht="30" customHeight="1" x14ac:dyDescent="0.2">
      <c r="A32" s="26">
        <v>29</v>
      </c>
      <c r="B32" s="44" t="s">
        <v>260</v>
      </c>
      <c r="C32" s="12">
        <v>45181</v>
      </c>
      <c r="D32" s="12">
        <v>45180</v>
      </c>
      <c r="E32" s="12">
        <v>46276</v>
      </c>
      <c r="F32" s="32" t="s">
        <v>261</v>
      </c>
      <c r="G32" s="24" t="s">
        <v>262</v>
      </c>
      <c r="H32" s="15" t="s">
        <v>263</v>
      </c>
      <c r="I32" s="32" t="s">
        <v>264</v>
      </c>
      <c r="J32" s="16" t="s">
        <v>261</v>
      </c>
      <c r="K32" s="16" t="s">
        <v>264</v>
      </c>
      <c r="L32" s="17"/>
      <c r="M32" s="17"/>
      <c r="N32" s="17"/>
      <c r="O32" s="17"/>
      <c r="P32" s="14" t="s">
        <v>265</v>
      </c>
      <c r="Q32" s="24" t="s">
        <v>133</v>
      </c>
      <c r="R32" s="24"/>
      <c r="S32" s="41"/>
      <c r="T32" s="22"/>
      <c r="U32" s="23"/>
      <c r="V32" s="22">
        <v>1</v>
      </c>
      <c r="W32" s="23">
        <v>1</v>
      </c>
      <c r="X32" s="22">
        <v>1</v>
      </c>
      <c r="Y32" s="23"/>
      <c r="Z32" s="22"/>
      <c r="AA32" s="23"/>
      <c r="AB32" s="22">
        <v>2</v>
      </c>
      <c r="AC32" s="23">
        <v>2</v>
      </c>
      <c r="AD32" s="22"/>
      <c r="AE32" s="23"/>
      <c r="AF32" s="22">
        <f t="shared" si="1"/>
        <v>4</v>
      </c>
      <c r="AG32" s="23">
        <f t="shared" si="0"/>
        <v>3</v>
      </c>
      <c r="AH32" s="24" t="s">
        <v>81</v>
      </c>
    </row>
    <row r="33" spans="1:34" ht="30" customHeight="1" x14ac:dyDescent="0.2">
      <c r="A33" s="26">
        <v>30</v>
      </c>
      <c r="B33" s="30" t="s">
        <v>266</v>
      </c>
      <c r="C33" s="12">
        <v>43445</v>
      </c>
      <c r="D33" s="12">
        <v>45268</v>
      </c>
      <c r="E33" s="12">
        <v>46366</v>
      </c>
      <c r="F33" s="32" t="s">
        <v>267</v>
      </c>
      <c r="G33" s="24" t="s">
        <v>268</v>
      </c>
      <c r="H33" s="15" t="s">
        <v>269</v>
      </c>
      <c r="I33" s="32" t="s">
        <v>270</v>
      </c>
      <c r="J33" s="16" t="s">
        <v>271</v>
      </c>
      <c r="K33" s="16" t="s">
        <v>272</v>
      </c>
      <c r="L33" s="17"/>
      <c r="M33" s="17"/>
      <c r="N33" s="17"/>
      <c r="O33" s="17"/>
      <c r="P33" s="13" t="s">
        <v>273</v>
      </c>
      <c r="Q33" s="24" t="s">
        <v>189</v>
      </c>
      <c r="R33" s="24"/>
      <c r="S33" s="41"/>
      <c r="T33" s="28"/>
      <c r="U33" s="29"/>
      <c r="V33" s="28">
        <v>2</v>
      </c>
      <c r="W33" s="29">
        <v>2</v>
      </c>
      <c r="X33" s="28"/>
      <c r="Y33" s="29"/>
      <c r="Z33" s="28"/>
      <c r="AA33" s="29"/>
      <c r="AB33" s="28">
        <v>3</v>
      </c>
      <c r="AC33" s="29">
        <v>2</v>
      </c>
      <c r="AD33" s="28"/>
      <c r="AE33" s="29"/>
      <c r="AF33" s="28">
        <f t="shared" si="1"/>
        <v>5</v>
      </c>
      <c r="AG33" s="29">
        <f t="shared" si="0"/>
        <v>4</v>
      </c>
      <c r="AH33" s="24" t="s">
        <v>90</v>
      </c>
    </row>
    <row r="34" spans="1:34" ht="30" customHeight="1" x14ac:dyDescent="0.2">
      <c r="A34" s="26">
        <v>31</v>
      </c>
      <c r="B34" s="30" t="s">
        <v>274</v>
      </c>
      <c r="C34" s="12">
        <v>43903</v>
      </c>
      <c r="D34" s="12">
        <v>44650</v>
      </c>
      <c r="E34" s="12">
        <v>45747</v>
      </c>
      <c r="F34" s="32" t="s">
        <v>275</v>
      </c>
      <c r="G34" s="24" t="s">
        <v>276</v>
      </c>
      <c r="H34" s="15" t="s">
        <v>277</v>
      </c>
      <c r="I34" s="32" t="s">
        <v>278</v>
      </c>
      <c r="J34" s="16" t="s">
        <v>275</v>
      </c>
      <c r="K34" s="16" t="s">
        <v>278</v>
      </c>
      <c r="L34" s="17"/>
      <c r="M34" s="17"/>
      <c r="N34" s="17"/>
      <c r="O34" s="17"/>
      <c r="P34" s="14" t="s">
        <v>229</v>
      </c>
      <c r="Q34" s="24" t="s">
        <v>148</v>
      </c>
      <c r="R34" s="24"/>
      <c r="S34" s="41"/>
      <c r="T34" s="28"/>
      <c r="U34" s="29"/>
      <c r="V34" s="28">
        <v>4</v>
      </c>
      <c r="W34" s="29">
        <v>1</v>
      </c>
      <c r="X34" s="28"/>
      <c r="Y34" s="29"/>
      <c r="Z34" s="28">
        <v>1</v>
      </c>
      <c r="AA34" s="29"/>
      <c r="AB34" s="28">
        <v>4</v>
      </c>
      <c r="AC34" s="29">
        <v>3</v>
      </c>
      <c r="AD34" s="28"/>
      <c r="AE34" s="29"/>
      <c r="AF34" s="28">
        <f t="shared" si="1"/>
        <v>9</v>
      </c>
      <c r="AG34" s="29">
        <f t="shared" si="0"/>
        <v>4</v>
      </c>
      <c r="AH34" s="24" t="s">
        <v>81</v>
      </c>
    </row>
    <row r="35" spans="1:34" ht="30" customHeight="1" x14ac:dyDescent="0.2">
      <c r="A35" s="26">
        <v>32</v>
      </c>
      <c r="B35" s="30" t="s">
        <v>279</v>
      </c>
      <c r="C35" s="12">
        <v>44699</v>
      </c>
      <c r="D35" s="12" t="s">
        <v>280</v>
      </c>
      <c r="E35" s="12">
        <v>45429</v>
      </c>
      <c r="F35" s="32" t="s">
        <v>281</v>
      </c>
      <c r="G35" s="24" t="s">
        <v>282</v>
      </c>
      <c r="H35" s="15" t="s">
        <v>283</v>
      </c>
      <c r="I35" s="32" t="s">
        <v>284</v>
      </c>
      <c r="J35" s="16" t="s">
        <v>281</v>
      </c>
      <c r="K35" s="32" t="s">
        <v>284</v>
      </c>
      <c r="L35" s="17"/>
      <c r="M35" s="17"/>
      <c r="N35" s="17"/>
      <c r="O35" s="17"/>
      <c r="P35" s="14" t="s">
        <v>285</v>
      </c>
      <c r="Q35" s="24" t="s">
        <v>286</v>
      </c>
      <c r="R35" s="24"/>
      <c r="S35" s="41"/>
      <c r="T35" s="28"/>
      <c r="U35" s="29"/>
      <c r="V35" s="28"/>
      <c r="W35" s="29"/>
      <c r="X35" s="28"/>
      <c r="Y35" s="29"/>
      <c r="Z35" s="28"/>
      <c r="AA35" s="29"/>
      <c r="AB35" s="28">
        <v>2</v>
      </c>
      <c r="AC35" s="29">
        <v>1</v>
      </c>
      <c r="AD35" s="28"/>
      <c r="AE35" s="29"/>
      <c r="AF35" s="28">
        <f t="shared" si="1"/>
        <v>2</v>
      </c>
      <c r="AG35" s="29">
        <f t="shared" si="0"/>
        <v>1</v>
      </c>
      <c r="AH35" s="24" t="s">
        <v>52</v>
      </c>
    </row>
    <row r="36" spans="1:34" ht="30" customHeight="1" x14ac:dyDescent="0.2">
      <c r="A36" s="26">
        <v>33</v>
      </c>
      <c r="B36" s="30" t="s">
        <v>287</v>
      </c>
      <c r="C36" s="12">
        <v>44986</v>
      </c>
      <c r="D36" s="12" t="s">
        <v>280</v>
      </c>
      <c r="E36" s="12">
        <v>45716</v>
      </c>
      <c r="F36" s="32" t="s">
        <v>288</v>
      </c>
      <c r="G36" s="24" t="s">
        <v>289</v>
      </c>
      <c r="H36" s="15" t="s">
        <v>290</v>
      </c>
      <c r="I36" s="32" t="s">
        <v>291</v>
      </c>
      <c r="J36" s="16" t="s">
        <v>292</v>
      </c>
      <c r="K36" s="32" t="s">
        <v>291</v>
      </c>
      <c r="L36" s="17"/>
      <c r="M36" s="17"/>
      <c r="N36" s="17"/>
      <c r="O36" s="17"/>
      <c r="P36" s="14" t="s">
        <v>293</v>
      </c>
      <c r="Q36" s="24" t="s">
        <v>294</v>
      </c>
      <c r="R36" s="24"/>
      <c r="S36" s="41"/>
      <c r="T36" s="28"/>
      <c r="U36" s="29"/>
      <c r="V36" s="28"/>
      <c r="W36" s="29"/>
      <c r="X36" s="28"/>
      <c r="Y36" s="29"/>
      <c r="Z36" s="28"/>
      <c r="AA36" s="29"/>
      <c r="AB36" s="28">
        <v>4</v>
      </c>
      <c r="AC36" s="29">
        <v>4</v>
      </c>
      <c r="AD36" s="28"/>
      <c r="AE36" s="29"/>
      <c r="AF36" s="28">
        <f t="shared" si="1"/>
        <v>4</v>
      </c>
      <c r="AG36" s="29">
        <f t="shared" si="0"/>
        <v>4</v>
      </c>
      <c r="AH36" s="24" t="s">
        <v>81</v>
      </c>
    </row>
    <row r="37" spans="1:34" ht="30" customHeight="1" x14ac:dyDescent="0.2">
      <c r="A37" s="26">
        <v>34</v>
      </c>
      <c r="B37" s="30" t="s">
        <v>295</v>
      </c>
      <c r="C37" s="12">
        <v>45002</v>
      </c>
      <c r="D37" s="12" t="s">
        <v>280</v>
      </c>
      <c r="E37" s="12">
        <v>45747</v>
      </c>
      <c r="F37" s="32" t="s">
        <v>296</v>
      </c>
      <c r="G37" s="24" t="s">
        <v>297</v>
      </c>
      <c r="H37" s="15" t="s">
        <v>298</v>
      </c>
      <c r="I37" s="32" t="s">
        <v>299</v>
      </c>
      <c r="J37" s="16" t="s">
        <v>300</v>
      </c>
      <c r="K37" s="32" t="s">
        <v>301</v>
      </c>
      <c r="L37" s="17"/>
      <c r="M37" s="17"/>
      <c r="N37" s="17"/>
      <c r="O37" s="17"/>
      <c r="P37" s="14" t="s">
        <v>302</v>
      </c>
      <c r="Q37" s="24" t="s">
        <v>303</v>
      </c>
      <c r="R37" s="24"/>
      <c r="S37" s="41"/>
      <c r="T37" s="28"/>
      <c r="U37" s="29"/>
      <c r="V37" s="28">
        <v>1</v>
      </c>
      <c r="W37" s="29"/>
      <c r="X37" s="28"/>
      <c r="Y37" s="29"/>
      <c r="Z37" s="28">
        <v>1</v>
      </c>
      <c r="AA37" s="29"/>
      <c r="AB37" s="28"/>
      <c r="AC37" s="29"/>
      <c r="AD37" s="28"/>
      <c r="AE37" s="29"/>
      <c r="AF37" s="28">
        <f t="shared" si="1"/>
        <v>2</v>
      </c>
      <c r="AG37" s="29">
        <f t="shared" si="0"/>
        <v>0</v>
      </c>
      <c r="AH37" s="24" t="s">
        <v>81</v>
      </c>
    </row>
    <row r="38" spans="1:34" ht="30" customHeight="1" x14ac:dyDescent="0.2">
      <c r="A38" s="26">
        <v>35</v>
      </c>
      <c r="B38" s="30" t="s">
        <v>304</v>
      </c>
      <c r="C38" s="12">
        <v>45250</v>
      </c>
      <c r="D38" s="12" t="s">
        <v>280</v>
      </c>
      <c r="E38" s="12">
        <v>45980</v>
      </c>
      <c r="F38" s="32" t="s">
        <v>305</v>
      </c>
      <c r="G38" s="24" t="s">
        <v>306</v>
      </c>
      <c r="H38" s="15" t="s">
        <v>307</v>
      </c>
      <c r="I38" s="32" t="s">
        <v>308</v>
      </c>
      <c r="J38" s="16" t="s">
        <v>309</v>
      </c>
      <c r="K38" s="32" t="s">
        <v>308</v>
      </c>
      <c r="L38" s="17"/>
      <c r="M38" s="17"/>
      <c r="N38" s="17"/>
      <c r="O38" s="17"/>
      <c r="P38" s="14" t="s">
        <v>310</v>
      </c>
      <c r="Q38" s="24" t="s">
        <v>189</v>
      </c>
      <c r="R38" s="24"/>
      <c r="S38" s="41"/>
      <c r="T38" s="28"/>
      <c r="U38" s="29"/>
      <c r="V38" s="28">
        <v>1</v>
      </c>
      <c r="W38" s="29"/>
      <c r="X38" s="28"/>
      <c r="Y38" s="29"/>
      <c r="Z38" s="28"/>
      <c r="AA38" s="29"/>
      <c r="AB38" s="28">
        <v>3</v>
      </c>
      <c r="AC38" s="29">
        <v>1</v>
      </c>
      <c r="AD38" s="28"/>
      <c r="AE38" s="29"/>
      <c r="AF38" s="28">
        <f t="shared" si="1"/>
        <v>4</v>
      </c>
      <c r="AG38" s="29">
        <f t="shared" si="0"/>
        <v>1</v>
      </c>
      <c r="AH38" s="24" t="s">
        <v>52</v>
      </c>
    </row>
  </sheetData>
  <sheetProtection algorithmName="SHA-512" hashValue="c/DOIKkg8ividfyBjddB/hCgve70geJNFSrONAN6qesEvQUt6zYI1P27BwrCNOMIGhsdOlsvjpratzI7mqpDFA==" saltValue="HeVIKgNDTJq+b3XoFRAIIA==" spinCount="100000" sheet="1" objects="1" scenarios="1"/>
  <autoFilter ref="A1:AI37" xr:uid="{00000000-0009-0000-0000-000000000000}">
    <filterColumn colId="19" showButton="0"/>
    <filterColumn colId="21" showButton="0"/>
    <filterColumn colId="23" showButton="0"/>
    <filterColumn colId="25" showButton="0"/>
    <filterColumn colId="27" showButton="0"/>
    <filterColumn colId="29" showButton="0"/>
    <filterColumn colId="31" showButton="0"/>
  </autoFilter>
  <dataConsolidate/>
  <mergeCells count="7">
    <mergeCell ref="AF1:AG1"/>
    <mergeCell ref="T1:U1"/>
    <mergeCell ref="V1:W1"/>
    <mergeCell ref="X1:Y1"/>
    <mergeCell ref="Z1:AA1"/>
    <mergeCell ref="AB1:AC1"/>
    <mergeCell ref="AD1:AE1"/>
  </mergeCells>
  <phoneticPr fontId="5"/>
  <dataValidations count="1">
    <dataValidation type="list" allowBlank="1" showInputMessage="1" sqref="AH2:AH38" xr:uid="{FB964431-272F-421D-82E8-EB20365D1F4E}">
      <formula1>$AI$2:$AI$12</formula1>
    </dataValidation>
  </dataValidations>
  <hyperlinks>
    <hyperlink ref="B2" location="市福1!Print_Area" display="北室市福第1号" xr:uid="{45234622-BC9A-4F00-885A-C87C8BE1208D}"/>
    <hyperlink ref="B3" location="市福5!Print_Area" display="北室市福第5号" xr:uid="{88B0C632-B551-41BF-9187-9027BD228A41}"/>
    <hyperlink ref="B4" location="市福7!Print_Area" display="北室市福第7号" xr:uid="{08FE7E95-BAF6-495C-9DEA-F0E52BFC9678}"/>
    <hyperlink ref="B5" location="'2'!Print_Area" display="北室福第2号" xr:uid="{76928A68-CEB4-4D0B-B6D1-A92FB3132B6A}"/>
    <hyperlink ref="B6" location="'3'!Print_Area" display="北室福第3号" xr:uid="{7D147CA0-471E-41F1-8008-4F9346CDC43A}"/>
    <hyperlink ref="B7" location="'4'!Print_Area" display="北室福第4号" xr:uid="{D9862A5F-939E-4698-9423-0769D3751D58}"/>
    <hyperlink ref="B8" location="'5'!Print_Area" display="北室福第5号" xr:uid="{950686CA-2636-4393-9E55-5EC2D0D43687}"/>
    <hyperlink ref="B9" location="'7'!Print_Area" display="北室福第7号" xr:uid="{267511D7-E488-463A-8EC3-CB5BB915F36C}"/>
    <hyperlink ref="B10" location="'8'!Print_Area" display="北室福第8号" xr:uid="{D2410C73-6EC4-4BEA-A060-5B6A96C6EEFE}"/>
    <hyperlink ref="B11" location="'9'!Print_Area" display="北室福第9号" xr:uid="{BC74BFE1-05BA-46B5-A5BC-477ED386C055}"/>
    <hyperlink ref="B12" location="'10'!Print_Area" display="北室福第10号" xr:uid="{CF75CC93-198D-4086-A6A8-02EBA55C52B7}"/>
    <hyperlink ref="B13" location="'16'!Print_Area" display="北室福第16号" xr:uid="{0AB44464-675F-4AFF-8EEF-8523367DAF00}"/>
    <hyperlink ref="B14" location="'18'!Print_Area" display="北室福第18号" xr:uid="{558E2895-0F04-4093-B905-CBF7249FAA36}"/>
    <hyperlink ref="B15" location="'20'!Print_Area" display="北室福第20号" xr:uid="{E2A7A119-FEF8-4894-99B7-DFF6336D15D9}"/>
    <hyperlink ref="B16" location="'25'!Print_Area" display="北室福第25号" xr:uid="{9300F0FB-2980-4420-A226-7B81F9128DC6}"/>
    <hyperlink ref="B19" location="'26'!Print_Area" display="北室福第26号" xr:uid="{D8CA16AE-CA04-4611-BAAB-7FFAE6B7B901}"/>
    <hyperlink ref="B20" location="'31'!Print_Area" display="北室福第31号" xr:uid="{270F4787-C8C2-4CB9-91E3-116AC0D6CF47}"/>
    <hyperlink ref="B21" location="'32'!Print_Area" display="北室福第32号" xr:uid="{C4066AEA-5DA3-4FC1-933A-A7B14E2ECED3}"/>
    <hyperlink ref="B22" location="'34'!Print_Area" display="北室福第34号" xr:uid="{F0FA7FF6-71A2-4A3F-9B6B-E4968B13ECD9}"/>
    <hyperlink ref="B24" location="'35'!Print_Area" display="北室福第35号" xr:uid="{6E4CF5BB-5CF6-42DD-81B7-08CB5D33542C}"/>
    <hyperlink ref="B25" location="'37'!Print_Area" display="北室福第37号" xr:uid="{BF0B5CF0-79CC-4AFF-8B6E-AB5D33839974}"/>
    <hyperlink ref="B26" location="'39'!Print_Area" display="北室福第39号" xr:uid="{DA9117CF-026B-4086-8D8D-05658E2ABF02}"/>
    <hyperlink ref="B27" location="'40'!Print_Area" display="北室福第40号" xr:uid="{68EDF005-38AC-44F8-9EC8-119F25B52559}"/>
    <hyperlink ref="B28" location="'41'!Print_Area" display="北室福第41号" xr:uid="{D39FF0EE-F5C3-4687-8817-F99E7680CF10}"/>
    <hyperlink ref="B29" location="'45'!Print_Area" display="北室福第45号" xr:uid="{E6ABD5E7-BEDF-4229-8CB1-9D8DA6DBE4EC}"/>
    <hyperlink ref="B30" location="'46'!Print_Area" display="北室福第46号" xr:uid="{F66B0917-EB75-4DB9-BC9F-39290CC781AC}"/>
    <hyperlink ref="B33" location="'49'!Print_Area" display="北室福第49号" xr:uid="{95D1564A-D498-4F60-BF40-644C64EAD7A5}"/>
    <hyperlink ref="B36" location="'52'!Print_Area" display="北室福第52号" xr:uid="{A72842E1-9FA2-469E-B75B-2269377ADEFC}"/>
    <hyperlink ref="B31" location="'47'!Print_Area" display="北室福第47号" xr:uid="{A479F5D3-0372-4173-95D7-B696745122EE}"/>
    <hyperlink ref="B32" location="'48'!Print_Area" display="北室福第48号" xr:uid="{4C68C915-DC7A-4C83-8D25-8841837ECE1E}"/>
    <hyperlink ref="B17" location="'25'!Print_Area" display="北室福第25号" xr:uid="{26122C89-0742-4258-9751-07EE4591DDE5}"/>
    <hyperlink ref="B18" location="'25'!Print_Area" display="北室福第25号" xr:uid="{C41B5309-4564-459F-9B26-F689736F1AE3}"/>
    <hyperlink ref="B23" location="'34'!Print_Area" display="北室福第34号" xr:uid="{9D864A63-B267-4013-815A-82A8456E9007}"/>
    <hyperlink ref="B34" location="'50'!Print_Area" display="北室福第50号" xr:uid="{0842E415-6408-4604-9286-0DC6E40373AF}"/>
    <hyperlink ref="B35" location="'51'!Print_Area" display="北室福第51号" xr:uid="{A0665396-BFBA-4E16-B8A9-60FDD81327CD}"/>
    <hyperlink ref="B37" location="'53'!Print_Area" display="北室福第53号" xr:uid="{D01359D9-63AA-442D-9C25-929DEE0B255D}"/>
    <hyperlink ref="B38" location="'54'!Print_Area" display="北室福第54号" xr:uid="{BE082EF0-9741-4BBE-AC01-F7A8891353C0}"/>
  </hyperlinks>
  <pageMargins left="0.25" right="0.25" top="0.75" bottom="0.75" header="0.3" footer="0.3"/>
  <pageSetup paperSize="8"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95EC-7AD0-4740-A815-15C6646F3FA5}">
  <sheetPr codeName="Sheet11">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368</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45003</v>
      </c>
      <c r="E4" s="68"/>
      <c r="F4" s="68"/>
      <c r="G4" s="68"/>
      <c r="H4" s="68"/>
      <c r="I4" s="68"/>
      <c r="J4" s="68"/>
      <c r="K4" s="69"/>
    </row>
    <row r="5" spans="1:25" ht="30" customHeight="1" x14ac:dyDescent="0.2">
      <c r="A5" s="65" t="s">
        <v>334</v>
      </c>
      <c r="B5" s="66"/>
      <c r="C5" s="66"/>
      <c r="D5" s="67">
        <f>VLOOKUP($D$2,福祉!$B$2:$AG$25,4,FALSE)</f>
        <v>46112</v>
      </c>
      <c r="E5" s="68"/>
      <c r="F5" s="68"/>
      <c r="G5" s="68"/>
      <c r="H5" s="68"/>
      <c r="I5" s="68"/>
      <c r="J5" s="68"/>
      <c r="K5" s="69"/>
    </row>
    <row r="6" spans="1:25" ht="30" customHeight="1" x14ac:dyDescent="0.2">
      <c r="A6" s="65" t="s">
        <v>335</v>
      </c>
      <c r="B6" s="66"/>
      <c r="C6" s="66"/>
      <c r="D6" s="67" t="str">
        <f>VLOOKUP($D$2,福祉!$B$2:$AG$25,5,FALSE)</f>
        <v>社会福祉法人　幸清会</v>
      </c>
      <c r="E6" s="68"/>
      <c r="F6" s="68"/>
      <c r="G6" s="68"/>
      <c r="H6" s="68"/>
      <c r="I6" s="68"/>
      <c r="J6" s="68"/>
      <c r="K6" s="69"/>
    </row>
    <row r="7" spans="1:25" ht="30" customHeight="1" x14ac:dyDescent="0.2">
      <c r="A7" s="65" t="s">
        <v>336</v>
      </c>
      <c r="B7" s="66"/>
      <c r="C7" s="66"/>
      <c r="D7" s="67" t="str">
        <f>VLOOKUP($D$2,福祉!$B$2:$AG$25,6,FALSE)</f>
        <v>大久保　幸積</v>
      </c>
      <c r="E7" s="68"/>
      <c r="F7" s="68"/>
      <c r="G7" s="68"/>
      <c r="H7" s="68"/>
      <c r="I7" s="68"/>
      <c r="J7" s="68"/>
      <c r="K7" s="69"/>
    </row>
    <row r="8" spans="1:25" ht="30" customHeight="1" x14ac:dyDescent="0.2">
      <c r="A8" s="65" t="s">
        <v>337</v>
      </c>
      <c r="B8" s="66"/>
      <c r="C8" s="66"/>
      <c r="D8" s="67" t="str">
        <f>VLOOKUP($D$2,福祉!$B$2:$AG$25,8,FALSE)</f>
        <v>虻田郡洞爺湖町成香１０９番地１８</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ヘルパーステーション湘南</v>
      </c>
      <c r="E12" s="85"/>
      <c r="F12" s="85" t="str">
        <f>IFERROR(VLOOKUP($D$2,福祉!$B$2:$AG$897,10,FALSE),0)</f>
        <v>伊達市松ヶ枝町１５７番１１０</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伊達市(大滝区は除く）</v>
      </c>
      <c r="E14" s="80"/>
      <c r="F14" s="80"/>
      <c r="G14" s="80"/>
      <c r="H14" s="80"/>
      <c r="I14" s="80"/>
      <c r="J14" s="80"/>
      <c r="K14" s="81"/>
      <c r="O14" s="55"/>
      <c r="X14" s="55"/>
      <c r="Y14" s="90"/>
    </row>
    <row r="15" spans="1:25" ht="30" customHeight="1" x14ac:dyDescent="0.2">
      <c r="A15" s="77" t="s">
        <v>345</v>
      </c>
      <c r="B15" s="78"/>
      <c r="C15" s="78"/>
      <c r="D15" s="91" t="str">
        <f>VLOOKUP($D$2,福祉!$B$2:$AG$25,16,FALSE)</f>
        <v>イロ</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ヘルパーステーション湘南</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2</v>
      </c>
      <c r="I23" s="119">
        <f>IFERROR(VLOOKUP($D$2,福祉!$B$2:$AG$897,27,FALSE),0)</f>
        <v>0</v>
      </c>
      <c r="J23" s="119">
        <f>IFERROR(VLOOKUP($D$2,福祉!$B$2:$AG$897,29,FALSE),0)</f>
        <v>0</v>
      </c>
      <c r="K23" s="120">
        <f>SUM(E23:J23)</f>
        <v>3</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2</v>
      </c>
      <c r="I24" s="123">
        <f>IFERROR(VLOOKUP($D$2,福祉!$B$2:$AG$2897,28,FALSE),0)</f>
        <v>0</v>
      </c>
      <c r="J24" s="124"/>
      <c r="K24" s="125">
        <f>SUM(E24:I24)</f>
        <v>3</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2</v>
      </c>
      <c r="I35" s="119">
        <f t="shared" si="0"/>
        <v>0</v>
      </c>
      <c r="J35" s="119">
        <f t="shared" si="0"/>
        <v>0</v>
      </c>
      <c r="K35" s="120">
        <f>SUM(E35:J35)</f>
        <v>3</v>
      </c>
    </row>
    <row r="36" spans="1:11" ht="20.399999999999999" thickBot="1" x14ac:dyDescent="0.25">
      <c r="A36" s="142"/>
      <c r="B36" s="143"/>
      <c r="C36" s="144"/>
      <c r="D36" s="145"/>
      <c r="E36" s="146">
        <f>SUM(E24+E27+E30+E33)</f>
        <v>0</v>
      </c>
      <c r="F36" s="146">
        <f>SUM(F24+F27+F30+F33)</f>
        <v>1</v>
      </c>
      <c r="G36" s="146">
        <f>SUM(G24+G27+G30+G33)</f>
        <v>0</v>
      </c>
      <c r="H36" s="146">
        <f>SUM(H24+H27+H30+H33)</f>
        <v>2</v>
      </c>
      <c r="I36" s="146">
        <f>SUM(I24+I27+I30+I33)</f>
        <v>0</v>
      </c>
      <c r="J36" s="147"/>
      <c r="K36" s="148">
        <f>SUM(E36:I36)</f>
        <v>3</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wFwLgM/oJ1O/AMIDcNX2jqpd2eOUaIqsahFaJVVmd+FGDBrj6Hz9ULH+ImZxiIyCpPu5Myz4tU2lpxrPfWszYA==" saltValue="YBqD9qZqqOaCQy5kmkJWU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76DF6C4-1CC5-4E04-AC94-B919BDDC2EF4}">
      <formula1>"○"</formula1>
    </dataValidation>
    <dataValidation type="list" allowBlank="1" showInputMessage="1" sqref="A22:B33" xr:uid="{FC8B96F6-63F4-4D6F-9FDC-18C2754CBC2D}">
      <formula1>"交通空白地有償運送,福祉有償運送"</formula1>
    </dataValidation>
    <dataValidation allowBlank="1" showInputMessage="1" sqref="D2:K2" xr:uid="{C41924A9-CCAA-4B08-8767-FF1F219FFE9C}"/>
  </dataValidations>
  <hyperlinks>
    <hyperlink ref="O1:Q1" location="福祉!A1" display="目次" xr:uid="{82A7C9FA-0D1A-4AD9-8046-FC613BA08440}"/>
  </hyperlinks>
  <pageMargins left="0.25" right="0.25" top="0.75" bottom="0.75" header="0.3" footer="0.3"/>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1921E-A609-4A4E-BA8B-FFE3A742020D}">
  <sheetPr codeName="Sheet12">
    <tabColor theme="9" tint="0.39997558519241921"/>
  </sheetPr>
  <dimension ref="A1:Y38"/>
  <sheetViews>
    <sheetView view="pageBreakPreview" topLeftCell="A16"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369</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44987</v>
      </c>
      <c r="E4" s="68"/>
      <c r="F4" s="68"/>
      <c r="G4" s="68"/>
      <c r="H4" s="68"/>
      <c r="I4" s="68"/>
      <c r="J4" s="68"/>
      <c r="K4" s="69"/>
    </row>
    <row r="5" spans="1:25" ht="30" customHeight="1" x14ac:dyDescent="0.2">
      <c r="A5" s="65" t="s">
        <v>334</v>
      </c>
      <c r="B5" s="66"/>
      <c r="C5" s="66"/>
      <c r="D5" s="67">
        <f>VLOOKUP($D$2,福祉!$B$2:$AG$25,4,FALSE)</f>
        <v>46083</v>
      </c>
      <c r="E5" s="68"/>
      <c r="F5" s="68"/>
      <c r="G5" s="68"/>
      <c r="H5" s="68"/>
      <c r="I5" s="68"/>
      <c r="J5" s="68"/>
      <c r="K5" s="69"/>
    </row>
    <row r="6" spans="1:25" ht="30" customHeight="1" x14ac:dyDescent="0.2">
      <c r="A6" s="65" t="s">
        <v>335</v>
      </c>
      <c r="B6" s="66"/>
      <c r="C6" s="66"/>
      <c r="D6" s="67" t="str">
        <f>VLOOKUP($D$2,福祉!$B$2:$AG$25,5,FALSE)</f>
        <v>医療法人社団　静和会石井病院</v>
      </c>
      <c r="E6" s="68"/>
      <c r="F6" s="68"/>
      <c r="G6" s="68"/>
      <c r="H6" s="68"/>
      <c r="I6" s="68"/>
      <c r="J6" s="68"/>
      <c r="K6" s="69"/>
    </row>
    <row r="7" spans="1:25" ht="30" customHeight="1" x14ac:dyDescent="0.2">
      <c r="A7" s="65" t="s">
        <v>336</v>
      </c>
      <c r="B7" s="66"/>
      <c r="C7" s="66"/>
      <c r="D7" s="67" t="str">
        <f>VLOOKUP($D$2,福祉!$B$2:$AG$25,6,FALSE)</f>
        <v>石井　幸司</v>
      </c>
      <c r="E7" s="68"/>
      <c r="F7" s="68"/>
      <c r="G7" s="68"/>
      <c r="H7" s="68"/>
      <c r="I7" s="68"/>
      <c r="J7" s="68"/>
      <c r="K7" s="69"/>
    </row>
    <row r="8" spans="1:25" ht="30" customHeight="1" x14ac:dyDescent="0.2">
      <c r="A8" s="65" t="s">
        <v>337</v>
      </c>
      <c r="B8" s="66"/>
      <c r="C8" s="66"/>
      <c r="D8" s="67" t="str">
        <f>VLOOKUP($D$2,福祉!$B$2:$AG$25,8,FALSE)</f>
        <v>日高郡新ひだか町静内高砂町３丁目３番１号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医療法人社団　静和会石井病院　指定訪問介護事務所</v>
      </c>
      <c r="E12" s="85"/>
      <c r="F12" s="85" t="str">
        <f>IFERROR(VLOOKUP($D$2,福祉!$B$2:$AG$897,10,FALSE),0)</f>
        <v>日高郡新ひだか町静内高砂町３丁目３番１号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新ひだか町（旧静内町の区域に限る）</v>
      </c>
      <c r="E14" s="80"/>
      <c r="F14" s="80"/>
      <c r="G14" s="80"/>
      <c r="H14" s="80"/>
      <c r="I14" s="80"/>
      <c r="J14" s="80"/>
      <c r="K14" s="81"/>
      <c r="O14" s="55"/>
      <c r="X14" s="55"/>
      <c r="Y14" s="90"/>
    </row>
    <row r="15" spans="1:25" ht="30" customHeight="1" x14ac:dyDescent="0.2">
      <c r="A15" s="77" t="s">
        <v>345</v>
      </c>
      <c r="B15" s="78"/>
      <c r="C15" s="78"/>
      <c r="D15" s="91" t="str">
        <f>VLOOKUP($D$2,福祉!$B$2:$AG$25,16,FALSE)</f>
        <v>イロハニ</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医療法人社団　静和会石井病院　指定訪問介護事務所</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0</v>
      </c>
      <c r="I23" s="119">
        <f>IFERROR(VLOOKUP($D$2,福祉!$B$2:$AG$897,27,FALSE),0)</f>
        <v>2</v>
      </c>
      <c r="J23" s="119">
        <f>IFERROR(VLOOKUP($D$2,福祉!$B$2:$AG$897,29,FALSE),0)</f>
        <v>0</v>
      </c>
      <c r="K23" s="120">
        <f>SUM(E23:J23)</f>
        <v>3</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1</v>
      </c>
      <c r="J24" s="124"/>
      <c r="K24" s="125">
        <f>SUM(E24:I24)</f>
        <v>2</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0</v>
      </c>
      <c r="I35" s="119">
        <f t="shared" si="0"/>
        <v>2</v>
      </c>
      <c r="J35" s="119">
        <f t="shared" si="0"/>
        <v>0</v>
      </c>
      <c r="K35" s="120">
        <f>SUM(E35:J35)</f>
        <v>3</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1</v>
      </c>
      <c r="J36" s="147"/>
      <c r="K36" s="148">
        <f>SUM(E36:I36)</f>
        <v>2</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MgEyjCSEFX9/wEXx4I1xu5THZSpPjS1LB9H5s55H4Wj4eTNUN48NPKNjcSlx2coav8YM9BgP9kS+qM+iO/plpw==" saltValue="GFHKElP+ynHm/UKCCPEhi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43B0CF28-1066-41D5-A75D-D3002A993B8F}"/>
    <dataValidation type="list" allowBlank="1" showInputMessage="1" sqref="A22:B33" xr:uid="{79525A2F-1396-4336-9915-8FC6DCB42D97}">
      <formula1>"交通空白地有償運送,福祉有償運送"</formula1>
    </dataValidation>
    <dataValidation type="list" allowBlank="1" showInputMessage="1" sqref="D10" xr:uid="{F97C8DB9-4234-4014-AE33-59B7DB613CC4}">
      <formula1>"○"</formula1>
    </dataValidation>
  </dataValidations>
  <hyperlinks>
    <hyperlink ref="O1:Q1" location="福祉!A1" display="目次" xr:uid="{D28D8F37-4FC1-4449-BC5F-5D44A36C11B8}"/>
  </hyperlinks>
  <pageMargins left="0.25" right="0.25" top="0.75" bottom="0.75" header="0.3" footer="0.3"/>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28A6-7FCB-427E-83B3-59AF6DBD37AF}">
  <sheetPr codeName="Sheet13">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370</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45198</v>
      </c>
      <c r="E4" s="68"/>
      <c r="F4" s="68"/>
      <c r="G4" s="68"/>
      <c r="H4" s="68"/>
      <c r="I4" s="68"/>
      <c r="J4" s="68"/>
      <c r="K4" s="69"/>
    </row>
    <row r="5" spans="1:25" ht="30" customHeight="1" x14ac:dyDescent="0.2">
      <c r="A5" s="65" t="s">
        <v>334</v>
      </c>
      <c r="B5" s="66"/>
      <c r="C5" s="66"/>
      <c r="D5" s="67">
        <f>VLOOKUP($D$2,福祉!$B$2:$AG$25,4,FALSE)</f>
        <v>46293</v>
      </c>
      <c r="E5" s="68"/>
      <c r="F5" s="68"/>
      <c r="G5" s="68"/>
      <c r="H5" s="68"/>
      <c r="I5" s="68"/>
      <c r="J5" s="68"/>
      <c r="K5" s="69"/>
    </row>
    <row r="6" spans="1:25" ht="30" customHeight="1" x14ac:dyDescent="0.2">
      <c r="A6" s="65" t="s">
        <v>335</v>
      </c>
      <c r="B6" s="66"/>
      <c r="C6" s="66"/>
      <c r="D6" s="67" t="str">
        <f>VLOOKUP($D$2,福祉!$B$2:$AG$25,5,FALSE)</f>
        <v>特定非営利活動法人　宅老所日和</v>
      </c>
      <c r="E6" s="68"/>
      <c r="F6" s="68"/>
      <c r="G6" s="68"/>
      <c r="H6" s="68"/>
      <c r="I6" s="68"/>
      <c r="J6" s="68"/>
      <c r="K6" s="69"/>
    </row>
    <row r="7" spans="1:25" ht="30" customHeight="1" x14ac:dyDescent="0.2">
      <c r="A7" s="65" t="s">
        <v>336</v>
      </c>
      <c r="B7" s="66"/>
      <c r="C7" s="66"/>
      <c r="D7" s="67" t="str">
        <f>VLOOKUP($D$2,福祉!$B$2:$AG$25,6,FALSE)</f>
        <v>三上　裕紀子</v>
      </c>
      <c r="E7" s="68"/>
      <c r="F7" s="68"/>
      <c r="G7" s="68"/>
      <c r="H7" s="68"/>
      <c r="I7" s="68"/>
      <c r="J7" s="68"/>
      <c r="K7" s="69"/>
    </row>
    <row r="8" spans="1:25" ht="30" customHeight="1" x14ac:dyDescent="0.2">
      <c r="A8" s="65" t="s">
        <v>337</v>
      </c>
      <c r="B8" s="66"/>
      <c r="C8" s="66"/>
      <c r="D8" s="67" t="str">
        <f>VLOOKUP($D$2,福祉!$B$2:$AG$25,8,FALSE)</f>
        <v>勇払郡むかわ町田浦２５１番地６</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宅老所日和</v>
      </c>
      <c r="E12" s="85"/>
      <c r="F12" s="85" t="str">
        <f>IFERROR(VLOOKUP($D$2,福祉!$B$2:$AG$897,10,FALSE),0)</f>
        <v>勇払郡むかわ町田浦２５１番地６</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むかわ町</v>
      </c>
      <c r="E14" s="80"/>
      <c r="F14" s="80"/>
      <c r="G14" s="80"/>
      <c r="H14" s="80"/>
      <c r="I14" s="80"/>
      <c r="J14" s="80"/>
      <c r="K14" s="81"/>
      <c r="O14" s="55"/>
      <c r="X14" s="55"/>
      <c r="Y14" s="90"/>
    </row>
    <row r="15" spans="1:25" ht="30" customHeight="1" x14ac:dyDescent="0.2">
      <c r="A15" s="77" t="s">
        <v>345</v>
      </c>
      <c r="B15" s="78"/>
      <c r="C15" s="78"/>
      <c r="D15" s="91" t="str">
        <f>VLOOKUP($D$2,福祉!$B$2:$AG$25,16,FALSE)</f>
        <v>イロニホト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宅老所日和</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2</v>
      </c>
      <c r="G23" s="119">
        <f>IFERROR(VLOOKUP($D$2,福祉!$B$2:$AG$897,23,FALSE),0)</f>
        <v>0</v>
      </c>
      <c r="H23" s="119">
        <f>IFERROR(VLOOKUP($D$2,福祉!$B$2:$AG$897,25,FALSE),0)</f>
        <v>0</v>
      </c>
      <c r="I23" s="119">
        <f>IFERROR(VLOOKUP($D$2,福祉!$B$2:$AG$897,27,FALSE),0)</f>
        <v>2</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0</v>
      </c>
      <c r="J24" s="124"/>
      <c r="K24" s="125">
        <f>SUM(E24:I24)</f>
        <v>0</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2</v>
      </c>
      <c r="G35" s="119">
        <f t="shared" si="0"/>
        <v>0</v>
      </c>
      <c r="H35" s="119">
        <f t="shared" si="0"/>
        <v>0</v>
      </c>
      <c r="I35" s="119">
        <f t="shared" si="0"/>
        <v>2</v>
      </c>
      <c r="J35" s="119">
        <f t="shared" si="0"/>
        <v>0</v>
      </c>
      <c r="K35" s="120">
        <f>SUM(E35:J35)</f>
        <v>4</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0</v>
      </c>
      <c r="J36" s="147"/>
      <c r="K36" s="148">
        <f>SUM(E36:I36)</f>
        <v>0</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ndX4XHwjLGx8EpuWrMM7QINBLzrX8zXLtlj22yfBqtIklg6R1OvmtlgpdUCiE/pQs6X/rax8FCoZ45fVLhVZxg==" saltValue="r5+RAin7vOQNDXJue2oCn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96AF8779-A147-480D-AE6D-81B75E2E07C7}">
      <formula1>"○"</formula1>
    </dataValidation>
    <dataValidation type="list" allowBlank="1" showInputMessage="1" sqref="A22:B33" xr:uid="{15D290A6-096F-494C-880F-9029781E6028}">
      <formula1>"交通空白地有償運送,福祉有償運送"</formula1>
    </dataValidation>
    <dataValidation allowBlank="1" showInputMessage="1" sqref="D2:K2" xr:uid="{D4864607-F96A-4F1D-8CF0-F78AC2C5ACB0}"/>
  </dataValidations>
  <hyperlinks>
    <hyperlink ref="O1:Q1" location="福祉!A1" display="目次" xr:uid="{4E68E641-BB70-4495-AF74-C5A1AB970B71}"/>
  </hyperlinks>
  <pageMargins left="0.25" right="0.25" top="0.75" bottom="0.75" header="0.3" footer="0.3"/>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B69F-E3EB-426A-A655-23CE5C99F52D}">
  <sheetPr codeName="Sheet14">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371</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44957</v>
      </c>
      <c r="E4" s="68"/>
      <c r="F4" s="68"/>
      <c r="G4" s="68"/>
      <c r="H4" s="68"/>
      <c r="I4" s="68"/>
      <c r="J4" s="68"/>
      <c r="K4" s="69"/>
    </row>
    <row r="5" spans="1:25" ht="30" customHeight="1" x14ac:dyDescent="0.2">
      <c r="A5" s="65" t="s">
        <v>334</v>
      </c>
      <c r="B5" s="66"/>
      <c r="C5" s="66"/>
      <c r="D5" s="67">
        <f>VLOOKUP($D$2,福祉!$B$2:$AG$25,4,FALSE)</f>
        <v>46053</v>
      </c>
      <c r="E5" s="68"/>
      <c r="F5" s="68"/>
      <c r="G5" s="68"/>
      <c r="H5" s="68"/>
      <c r="I5" s="68"/>
      <c r="J5" s="68"/>
      <c r="K5" s="69"/>
    </row>
    <row r="6" spans="1:25" ht="30" customHeight="1" x14ac:dyDescent="0.2">
      <c r="A6" s="65" t="s">
        <v>335</v>
      </c>
      <c r="B6" s="66"/>
      <c r="C6" s="66"/>
      <c r="D6" s="67" t="str">
        <f>VLOOKUP($D$2,福祉!$B$2:$AG$25,5,FALSE)</f>
        <v>社会福祉法人　浦河町社会福祉協議会</v>
      </c>
      <c r="E6" s="68"/>
      <c r="F6" s="68"/>
      <c r="G6" s="68"/>
      <c r="H6" s="68"/>
      <c r="I6" s="68"/>
      <c r="J6" s="68"/>
      <c r="K6" s="69"/>
    </row>
    <row r="7" spans="1:25" ht="30" customHeight="1" x14ac:dyDescent="0.2">
      <c r="A7" s="65" t="s">
        <v>336</v>
      </c>
      <c r="B7" s="66"/>
      <c r="C7" s="66"/>
      <c r="D7" s="67" t="str">
        <f>VLOOKUP($D$2,福祉!$B$2:$AG$25,6,FALSE)</f>
        <v>松本　正美</v>
      </c>
      <c r="E7" s="68"/>
      <c r="F7" s="68"/>
      <c r="G7" s="68"/>
      <c r="H7" s="68"/>
      <c r="I7" s="68"/>
      <c r="J7" s="68"/>
      <c r="K7" s="69"/>
    </row>
    <row r="8" spans="1:25" ht="30" customHeight="1" x14ac:dyDescent="0.2">
      <c r="A8" s="65" t="s">
        <v>337</v>
      </c>
      <c r="B8" s="66"/>
      <c r="C8" s="66"/>
      <c r="D8" s="67" t="str">
        <f>VLOOKUP($D$2,福祉!$B$2:$AG$25,8,FALSE)</f>
        <v>浦河郡浦河町築地１丁目４番３８号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浦河町社会福祉協議会</v>
      </c>
      <c r="E12" s="85"/>
      <c r="F12" s="85" t="str">
        <f>IFERROR(VLOOKUP($D$2,福祉!$B$2:$AG$897,10,FALSE),0)</f>
        <v>浦河郡浦河町築地１丁目４番３８号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浦河郡浦河町</v>
      </c>
      <c r="E14" s="80"/>
      <c r="F14" s="80"/>
      <c r="G14" s="80"/>
      <c r="H14" s="80"/>
      <c r="I14" s="80"/>
      <c r="J14" s="80"/>
      <c r="K14" s="81"/>
      <c r="O14" s="55"/>
      <c r="X14" s="55"/>
      <c r="Y14" s="90"/>
    </row>
    <row r="15" spans="1:25" ht="30" customHeight="1" x14ac:dyDescent="0.2">
      <c r="A15" s="77" t="s">
        <v>345</v>
      </c>
      <c r="B15" s="78"/>
      <c r="C15" s="78"/>
      <c r="D15" s="91" t="str">
        <f>VLOOKUP($D$2,福祉!$B$2:$AG$25,16,FALSE)</f>
        <v>イロハニホト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浦河町社会福祉協議会</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0</v>
      </c>
      <c r="G23" s="119">
        <f>IFERROR(VLOOKUP($D$2,福祉!$B$2:$AG$897,23,FALSE),0)</f>
        <v>4</v>
      </c>
      <c r="H23" s="119">
        <f>IFERROR(VLOOKUP($D$2,福祉!$B$2:$AG$897,25,FALSE),0)</f>
        <v>0</v>
      </c>
      <c r="I23" s="119">
        <f>IFERROR(VLOOKUP($D$2,福祉!$B$2:$AG$897,27,FALSE),0)</f>
        <v>3</v>
      </c>
      <c r="J23" s="119">
        <f>IFERROR(VLOOKUP($D$2,福祉!$B$2:$AG$897,29,FALSE),0)</f>
        <v>0</v>
      </c>
      <c r="K23" s="120">
        <f>SUM(E23:J23)</f>
        <v>7</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2</v>
      </c>
      <c r="J24" s="124"/>
      <c r="K24" s="125">
        <f>SUM(E24:I24)</f>
        <v>2</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0</v>
      </c>
      <c r="G35" s="119">
        <f t="shared" si="0"/>
        <v>4</v>
      </c>
      <c r="H35" s="119">
        <f t="shared" si="0"/>
        <v>0</v>
      </c>
      <c r="I35" s="119">
        <f t="shared" si="0"/>
        <v>3</v>
      </c>
      <c r="J35" s="119">
        <f t="shared" si="0"/>
        <v>0</v>
      </c>
      <c r="K35" s="120">
        <f>SUM(E35:J35)</f>
        <v>7</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2</v>
      </c>
      <c r="J36" s="147"/>
      <c r="K36" s="148">
        <f>SUM(E36:I36)</f>
        <v>2</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l6CFMLz4+0pQAvROtN6MjWdWb4Cixpq2x/TUYdlMvhVaHl+vuyOOoZyZluqcjjO5D+fSxhhhsL/srSHUb7VjDA==" saltValue="K/3udszsag82ZNPQc1joI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347A0AB7-66EB-4E7A-A5CE-03AEB90353B6}"/>
    <dataValidation type="list" allowBlank="1" showInputMessage="1" sqref="A22:B33" xr:uid="{01F8E1EE-E8D3-4CA1-BA40-07267F185F8D}">
      <formula1>"交通空白地有償運送,福祉有償運送"</formula1>
    </dataValidation>
    <dataValidation type="list" allowBlank="1" showInputMessage="1" sqref="D10" xr:uid="{D7DD1D6B-4B09-4913-A7E1-C8287282B6CF}">
      <formula1>"○"</formula1>
    </dataValidation>
  </dataValidations>
  <hyperlinks>
    <hyperlink ref="O1:Q1" location="福祉!A1" display="目次" xr:uid="{14DF4970-89F0-4811-B4E0-570F0B1E33BF}"/>
  </hyperlinks>
  <pageMargins left="0.25" right="0.25" top="0.75" bottom="0.75" header="0.3" footer="0.3"/>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ABA6-8A61-44CE-971B-863BF6AF05EC}">
  <sheetPr codeName="Sheet17">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372</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45005</v>
      </c>
      <c r="E4" s="68"/>
      <c r="F4" s="68"/>
      <c r="G4" s="68"/>
      <c r="H4" s="68"/>
      <c r="I4" s="68"/>
      <c r="J4" s="68"/>
      <c r="K4" s="69"/>
    </row>
    <row r="5" spans="1:25" ht="30" customHeight="1" x14ac:dyDescent="0.2">
      <c r="A5" s="65" t="s">
        <v>334</v>
      </c>
      <c r="B5" s="66"/>
      <c r="C5" s="66"/>
      <c r="D5" s="67">
        <f>VLOOKUP($D$2,福祉!$B$2:$AG$25,4,FALSE)</f>
        <v>46112</v>
      </c>
      <c r="E5" s="68"/>
      <c r="F5" s="68"/>
      <c r="G5" s="68"/>
      <c r="H5" s="68"/>
      <c r="I5" s="68"/>
      <c r="J5" s="68"/>
      <c r="K5" s="69"/>
    </row>
    <row r="6" spans="1:25" ht="30" customHeight="1" x14ac:dyDescent="0.2">
      <c r="A6" s="65" t="s">
        <v>335</v>
      </c>
      <c r="B6" s="66"/>
      <c r="C6" s="66"/>
      <c r="D6" s="67" t="str">
        <f>VLOOKUP($D$2,福祉!$B$2:$AG$25,5,FALSE)</f>
        <v>特定非営利活動法人　サポート室蘭</v>
      </c>
      <c r="E6" s="68"/>
      <c r="F6" s="68"/>
      <c r="G6" s="68"/>
      <c r="H6" s="68"/>
      <c r="I6" s="68"/>
      <c r="J6" s="68"/>
      <c r="K6" s="69"/>
    </row>
    <row r="7" spans="1:25" ht="30" customHeight="1" x14ac:dyDescent="0.2">
      <c r="A7" s="65" t="s">
        <v>336</v>
      </c>
      <c r="B7" s="66"/>
      <c r="C7" s="66"/>
      <c r="D7" s="67" t="str">
        <f>VLOOKUP($D$2,福祉!$B$2:$AG$25,6,FALSE)</f>
        <v>佐藤　ゆき子</v>
      </c>
      <c r="E7" s="68"/>
      <c r="F7" s="68"/>
      <c r="G7" s="68"/>
      <c r="H7" s="68"/>
      <c r="I7" s="68"/>
      <c r="J7" s="68"/>
      <c r="K7" s="69"/>
    </row>
    <row r="8" spans="1:25" ht="30" customHeight="1" x14ac:dyDescent="0.2">
      <c r="A8" s="65" t="s">
        <v>337</v>
      </c>
      <c r="B8" s="66"/>
      <c r="C8" s="66"/>
      <c r="D8" s="67" t="str">
        <f>VLOOKUP($D$2,福祉!$B$2:$AG$25,8,FALSE)</f>
        <v>室蘭市輪西町２丁目１２－１５</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サポート室蘭</v>
      </c>
      <c r="E12" s="85"/>
      <c r="F12" s="85" t="str">
        <f>IFERROR(VLOOKUP($D$2,福祉!$B$2:$AG$897,10,FALSE),0)</f>
        <v>室蘭市輪西町２丁目１２－１５</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室蘭市、登別市</v>
      </c>
      <c r="E14" s="80"/>
      <c r="F14" s="80"/>
      <c r="G14" s="80"/>
      <c r="H14" s="80"/>
      <c r="I14" s="80"/>
      <c r="J14" s="80"/>
      <c r="K14" s="81"/>
      <c r="O14" s="55"/>
      <c r="X14" s="55"/>
      <c r="Y14" s="90"/>
    </row>
    <row r="15" spans="1:25" ht="30" customHeight="1" x14ac:dyDescent="0.2">
      <c r="A15" s="77" t="s">
        <v>345</v>
      </c>
      <c r="B15" s="78"/>
      <c r="C15" s="78"/>
      <c r="D15" s="91" t="str">
        <f>VLOOKUP($D$2,福祉!$B$2:$AG$25,16,FALSE)</f>
        <v>ニト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サポート室蘭</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2</v>
      </c>
      <c r="G23" s="119">
        <f>IFERROR(VLOOKUP($D$2,福祉!$B$2:$AG$897,23,FALSE),0)</f>
        <v>0</v>
      </c>
      <c r="H23" s="119">
        <f>IFERROR(VLOOKUP($D$2,福祉!$B$2:$AG$897,25,FALSE),0)</f>
        <v>0</v>
      </c>
      <c r="I23" s="119">
        <f>IFERROR(VLOOKUP($D$2,福祉!$B$2:$AG$897,27,FALSE),0)</f>
        <v>6</v>
      </c>
      <c r="J23" s="119">
        <f>IFERROR(VLOOKUP($D$2,福祉!$B$2:$AG$897,29,FALSE),0)</f>
        <v>0</v>
      </c>
      <c r="K23" s="120">
        <f>SUM(E23:J23)</f>
        <v>8</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4</v>
      </c>
      <c r="J24" s="124"/>
      <c r="K24" s="125">
        <f>SUM(E24:I24)</f>
        <v>5</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2</v>
      </c>
      <c r="G35" s="119">
        <f t="shared" si="0"/>
        <v>0</v>
      </c>
      <c r="H35" s="119">
        <f t="shared" si="0"/>
        <v>0</v>
      </c>
      <c r="I35" s="119">
        <f t="shared" si="0"/>
        <v>6</v>
      </c>
      <c r="J35" s="119">
        <f t="shared" si="0"/>
        <v>0</v>
      </c>
      <c r="K35" s="120">
        <f>SUM(E35:J35)</f>
        <v>8</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4</v>
      </c>
      <c r="J36" s="147"/>
      <c r="K36" s="148">
        <f>SUM(E36:I36)</f>
        <v>5</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9UqpQ3dgcn6dNHAyN1xWOyQf0IvYo0A1e8G5WZIyZPi+vSKcjss1LnUOeGe4kch1JqB9WWi1i6sou9txlzI3pg==" saltValue="gd4IF/X1fFl+GZFPw8JkZ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EF52D85-46B0-4DC9-AD49-9AB048130DDD}">
      <formula1>"○"</formula1>
    </dataValidation>
    <dataValidation type="list" allowBlank="1" showInputMessage="1" sqref="A22:B33" xr:uid="{D579B320-FEE8-45DB-A238-6042A647F968}">
      <formula1>"交通空白地有償運送,福祉有償運送"</formula1>
    </dataValidation>
    <dataValidation allowBlank="1" showInputMessage="1" sqref="D2:K2" xr:uid="{2A8A46F9-1D3A-4000-8460-6D9030D2112D}"/>
  </dataValidations>
  <hyperlinks>
    <hyperlink ref="O1:Q1" location="福祉!A1" display="目次" xr:uid="{E5E0C69E-701D-46B3-BB85-CCE703C2346D}"/>
  </hyperlinks>
  <pageMargins left="0.25" right="0.25" top="0.75" bottom="0.75" header="0.3" footer="0.3"/>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25535-EEF0-42A9-ABE5-9784EC0D6103}">
  <sheetPr codeName="Sheet19">
    <tabColor theme="9" tint="0.39997558519241921"/>
  </sheetPr>
  <dimension ref="A1:Y38"/>
  <sheetViews>
    <sheetView view="pageBreakPreview" topLeftCell="A7"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373</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v>45002</v>
      </c>
      <c r="E4" s="68"/>
      <c r="F4" s="68"/>
      <c r="G4" s="68"/>
      <c r="H4" s="68"/>
      <c r="I4" s="68"/>
      <c r="J4" s="68"/>
      <c r="K4" s="69"/>
    </row>
    <row r="5" spans="1:25" ht="30" customHeight="1" x14ac:dyDescent="0.2">
      <c r="A5" s="65" t="s">
        <v>334</v>
      </c>
      <c r="B5" s="66"/>
      <c r="C5" s="66"/>
      <c r="D5" s="67">
        <f>VLOOKUP($D$2,福祉!$B$2:$AG$25,4,FALSE)</f>
        <v>46112</v>
      </c>
      <c r="E5" s="68"/>
      <c r="F5" s="68"/>
      <c r="G5" s="68"/>
      <c r="H5" s="68"/>
      <c r="I5" s="68"/>
      <c r="J5" s="68"/>
      <c r="K5" s="69"/>
      <c r="N5" s="49" t="s">
        <v>374</v>
      </c>
    </row>
    <row r="6" spans="1:25" ht="30" customHeight="1" x14ac:dyDescent="0.2">
      <c r="A6" s="65" t="s">
        <v>335</v>
      </c>
      <c r="B6" s="66"/>
      <c r="C6" s="66"/>
      <c r="D6" s="67" t="str">
        <f>VLOOKUP($D$2,福祉!$B$2:$AG$25,5,FALSE)</f>
        <v>社会福祉法人　えりも町社会福祉協議会</v>
      </c>
      <c r="E6" s="68"/>
      <c r="F6" s="68"/>
      <c r="G6" s="68"/>
      <c r="H6" s="68"/>
      <c r="I6" s="68"/>
      <c r="J6" s="68"/>
      <c r="K6" s="69"/>
    </row>
    <row r="7" spans="1:25" ht="30" customHeight="1" x14ac:dyDescent="0.2">
      <c r="A7" s="65" t="s">
        <v>336</v>
      </c>
      <c r="B7" s="66"/>
      <c r="C7" s="66"/>
      <c r="D7" s="67" t="str">
        <f>VLOOKUP($D$2,福祉!$B$2:$AG$25,6,FALSE)</f>
        <v>加藤　弘子</v>
      </c>
      <c r="E7" s="68"/>
      <c r="F7" s="68"/>
      <c r="G7" s="68"/>
      <c r="H7" s="68"/>
      <c r="I7" s="68"/>
      <c r="J7" s="68"/>
      <c r="K7" s="69"/>
    </row>
    <row r="8" spans="1:25" ht="30" customHeight="1" x14ac:dyDescent="0.2">
      <c r="A8" s="65" t="s">
        <v>337</v>
      </c>
      <c r="B8" s="66"/>
      <c r="C8" s="66"/>
      <c r="D8" s="67" t="str">
        <f>VLOOKUP($D$2,福祉!$B$2:$AG$25,8,FALSE)</f>
        <v>幌泉郡えりも町字本町２０６</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えりも町社会福祉協議会</v>
      </c>
      <c r="E12" s="85"/>
      <c r="F12" s="85" t="str">
        <f>IFERROR(VLOOKUP($D$2,福祉!$B$2:$AG$897,10,FALSE),0)</f>
        <v>幌泉郡えりも町字本町２０６</v>
      </c>
      <c r="G12" s="85"/>
      <c r="H12" s="85">
        <f>IFERROR(VLOOKUP($D$2&amp;"-3",福祉!$B$2:$AG$897,9,FALSE),0)</f>
        <v>0</v>
      </c>
      <c r="I12" s="85"/>
      <c r="J12" s="85">
        <f>IFERROR(VLOOKUP($D$2&amp;"-3",福祉!$B$2:$AG$897,10,FALSE),0)</f>
        <v>0</v>
      </c>
      <c r="K12" s="151"/>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151"/>
      <c r="O13" s="55"/>
      <c r="X13" s="55"/>
    </row>
    <row r="14" spans="1:25" ht="30" customHeight="1" x14ac:dyDescent="0.2">
      <c r="A14" s="77" t="s">
        <v>344</v>
      </c>
      <c r="B14" s="78"/>
      <c r="C14" s="78"/>
      <c r="D14" s="80" t="str">
        <f>VLOOKUP($D$2,福祉!$B$2:$AG$25,15,FALSE)</f>
        <v>えりも町</v>
      </c>
      <c r="E14" s="80"/>
      <c r="F14" s="80"/>
      <c r="G14" s="80"/>
      <c r="H14" s="80"/>
      <c r="I14" s="80"/>
      <c r="J14" s="80"/>
      <c r="K14" s="81"/>
      <c r="O14" s="55"/>
      <c r="X14" s="55"/>
      <c r="Y14" s="90"/>
    </row>
    <row r="15" spans="1:25" ht="30" customHeight="1" x14ac:dyDescent="0.2">
      <c r="A15" s="77" t="s">
        <v>345</v>
      </c>
      <c r="B15" s="78"/>
      <c r="C15" s="78"/>
      <c r="D15" s="91" t="str">
        <f>VLOOKUP($D$2,福祉!$B$2:$AG$25,16,FALSE)</f>
        <v>イロニ</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えりも町社会福祉協議会</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0</v>
      </c>
      <c r="I23" s="119">
        <f>IFERROR(VLOOKUP($D$2,福祉!$B$2:$AG$897,27,FALSE),0)</f>
        <v>3</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2</v>
      </c>
      <c r="J24" s="124"/>
      <c r="K24" s="125">
        <f>SUM(E24:I24)</f>
        <v>3</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0</v>
      </c>
      <c r="I35" s="119">
        <f t="shared" si="0"/>
        <v>3</v>
      </c>
      <c r="J35" s="119">
        <f t="shared" si="0"/>
        <v>0</v>
      </c>
      <c r="K35" s="120">
        <f>SUM(E35:J35)</f>
        <v>4</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2</v>
      </c>
      <c r="J36" s="147"/>
      <c r="K36" s="148">
        <f>SUM(E36:I36)</f>
        <v>3</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pNSFyaa4VNwEnDsBVhmjZclBm/Fx8qNbCGhgBiCpoKGKgvIfnQ3ogkXsHZtHeoOJuM/HtAA9Q4xlifpTnL3tQQ==" saltValue="vXaXgZMZmiBaydRkCrw3C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7620D75F-93E8-44C4-9042-4DDAB315B123}">
      <formula1>"○"</formula1>
    </dataValidation>
    <dataValidation type="list" allowBlank="1" showInputMessage="1" sqref="A22:B33" xr:uid="{115E7612-6803-4D87-B908-1A8FC9187B60}">
      <formula1>"交通空白地有償運送,福祉有償運送"</formula1>
    </dataValidation>
    <dataValidation allowBlank="1" showInputMessage="1" sqref="D2:K2" xr:uid="{99183462-6DF8-43C3-921E-AE7E37154E33}"/>
  </dataValidations>
  <hyperlinks>
    <hyperlink ref="O1:Q1" location="福祉!A1" display="目次" xr:uid="{D72274AE-A212-438D-999B-68120C41F3A2}"/>
  </hyperlinks>
  <pageMargins left="0.25" right="0.25" top="0.75" bottom="0.75" header="0.3" footer="0.3"/>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3F5F7-DD6F-4D10-94B8-75BF32A99EA2}">
  <sheetPr codeName="Sheet21">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375</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45002</v>
      </c>
      <c r="E4" s="68"/>
      <c r="F4" s="68"/>
      <c r="G4" s="68"/>
      <c r="H4" s="68"/>
      <c r="I4" s="68"/>
      <c r="J4" s="68"/>
      <c r="K4" s="69"/>
    </row>
    <row r="5" spans="1:25" ht="30" customHeight="1" x14ac:dyDescent="0.2">
      <c r="A5" s="65" t="s">
        <v>334</v>
      </c>
      <c r="B5" s="66"/>
      <c r="C5" s="66"/>
      <c r="D5" s="67">
        <f>VLOOKUP($D$2,福祉!$B$2:$AG$25,4,FALSE)</f>
        <v>46112</v>
      </c>
      <c r="E5" s="68"/>
      <c r="F5" s="68"/>
      <c r="G5" s="68"/>
      <c r="H5" s="68"/>
      <c r="I5" s="68"/>
      <c r="J5" s="68"/>
      <c r="K5" s="69"/>
    </row>
    <row r="6" spans="1:25" ht="30" customHeight="1" x14ac:dyDescent="0.2">
      <c r="A6" s="65" t="s">
        <v>335</v>
      </c>
      <c r="B6" s="66"/>
      <c r="C6" s="66"/>
      <c r="D6" s="67" t="str">
        <f>VLOOKUP($D$2,福祉!$B$2:$AG$25,5,FALSE)</f>
        <v>特定非営利活動法人　いぶりたすけ愛</v>
      </c>
      <c r="E6" s="68"/>
      <c r="F6" s="68"/>
      <c r="G6" s="68"/>
      <c r="H6" s="68"/>
      <c r="I6" s="68"/>
      <c r="J6" s="68"/>
      <c r="K6" s="69"/>
    </row>
    <row r="7" spans="1:25" ht="30" customHeight="1" x14ac:dyDescent="0.2">
      <c r="A7" s="65" t="s">
        <v>336</v>
      </c>
      <c r="B7" s="66"/>
      <c r="C7" s="66"/>
      <c r="D7" s="67" t="str">
        <f>VLOOKUP($D$2,福祉!$B$2:$AG$25,6,FALSE)</f>
        <v>星川　光子</v>
      </c>
      <c r="E7" s="68"/>
      <c r="F7" s="68"/>
      <c r="G7" s="68"/>
      <c r="H7" s="68"/>
      <c r="I7" s="68"/>
      <c r="J7" s="68"/>
      <c r="K7" s="69"/>
    </row>
    <row r="8" spans="1:25" ht="30" customHeight="1" x14ac:dyDescent="0.2">
      <c r="A8" s="65" t="s">
        <v>337</v>
      </c>
      <c r="B8" s="66"/>
      <c r="C8" s="66"/>
      <c r="D8" s="67" t="str">
        <f>VLOOKUP($D$2,福祉!$B$2:$AG$25,8,FALSE)</f>
        <v>登別市桜木町３丁目２番地１０</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特定非営利活動法人　いぶりたすけ愛</v>
      </c>
      <c r="E12" s="85"/>
      <c r="F12" s="85" t="str">
        <f>IFERROR(VLOOKUP($D$2,福祉!$B$2:$AG$897,10,FALSE),0)</f>
        <v>登別市桜木町３丁目２番地１０</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登別市、室蘭市</v>
      </c>
      <c r="E14" s="80"/>
      <c r="F14" s="80"/>
      <c r="G14" s="80"/>
      <c r="H14" s="80"/>
      <c r="I14" s="80"/>
      <c r="J14" s="80"/>
      <c r="K14" s="81"/>
      <c r="O14" s="55"/>
      <c r="X14" s="55"/>
      <c r="Y14" s="90"/>
    </row>
    <row r="15" spans="1:25" ht="30" customHeight="1" x14ac:dyDescent="0.2">
      <c r="A15" s="77" t="s">
        <v>345</v>
      </c>
      <c r="B15" s="78"/>
      <c r="C15" s="78"/>
      <c r="D15" s="91" t="str">
        <f>VLOOKUP($D$2,福祉!$B$2:$AG$25,16,FALSE)</f>
        <v>イロハニホ</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特定非営利活動法人　いぶりたすけ愛</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4</v>
      </c>
      <c r="G23" s="119">
        <f>IFERROR(VLOOKUP($D$2,福祉!$B$2:$AG$897,23,FALSE),0)</f>
        <v>0</v>
      </c>
      <c r="H23" s="119">
        <f>IFERROR(VLOOKUP($D$2,福祉!$B$2:$AG$897,25,FALSE),0)</f>
        <v>0</v>
      </c>
      <c r="I23" s="119">
        <f>IFERROR(VLOOKUP($D$2,福祉!$B$2:$AG$897,27,FALSE),0)</f>
        <v>0</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3</v>
      </c>
      <c r="G24" s="123">
        <f>IFERROR(VLOOKUP($D$2,福祉!$B$2:$AG$897,24,FALSE),0)</f>
        <v>0</v>
      </c>
      <c r="H24" s="123">
        <f>IFERROR(VLOOKUP($D$2,福祉!$B$2:$AG$897,26,FALSE),0)</f>
        <v>0</v>
      </c>
      <c r="I24" s="123">
        <f>IFERROR(VLOOKUP($D$2,福祉!$B$2:$AG$2897,28,FALSE),0)</f>
        <v>0</v>
      </c>
      <c r="J24" s="124"/>
      <c r="K24" s="125">
        <f>SUM(E24:I24)</f>
        <v>3</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4</v>
      </c>
      <c r="G35" s="119">
        <f t="shared" si="0"/>
        <v>0</v>
      </c>
      <c r="H35" s="119">
        <f t="shared" si="0"/>
        <v>0</v>
      </c>
      <c r="I35" s="119">
        <f t="shared" si="0"/>
        <v>0</v>
      </c>
      <c r="J35" s="119">
        <f t="shared" si="0"/>
        <v>0</v>
      </c>
      <c r="K35" s="120">
        <f>SUM(E35:J35)</f>
        <v>4</v>
      </c>
    </row>
    <row r="36" spans="1:11" ht="20.399999999999999" thickBot="1" x14ac:dyDescent="0.25">
      <c r="A36" s="142"/>
      <c r="B36" s="143"/>
      <c r="C36" s="144"/>
      <c r="D36" s="145"/>
      <c r="E36" s="146">
        <f>SUM(E24+E27+E30+E33)</f>
        <v>0</v>
      </c>
      <c r="F36" s="146">
        <f>SUM(F24+F27+F30+F33)</f>
        <v>3</v>
      </c>
      <c r="G36" s="146">
        <f>SUM(G24+G27+G30+G33)</f>
        <v>0</v>
      </c>
      <c r="H36" s="146">
        <f>SUM(H24+H27+H30+H33)</f>
        <v>0</v>
      </c>
      <c r="I36" s="146">
        <f>SUM(I24+I27+I30+I33)</f>
        <v>0</v>
      </c>
      <c r="J36" s="147"/>
      <c r="K36" s="148">
        <f>SUM(E36:I36)</f>
        <v>3</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0swv1z2bPDX5RNa+N4b1irfKXsEu6ljO9qWMlFoukjeu53PlKODh9ED9Cx8puuL558glIa8qMt4mgSsa3CFKJQ==" saltValue="azx6sT8+OfrLiPMfQVicO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A014A89-DD05-4CD0-B8EC-11FA0DF6E620}">
      <formula1>"○"</formula1>
    </dataValidation>
    <dataValidation type="list" allowBlank="1" showInputMessage="1" sqref="A22:B33" xr:uid="{52133952-3ED9-4053-ABE9-5D0791B538AB}">
      <formula1>"交通空白地有償運送,福祉有償運送"</formula1>
    </dataValidation>
    <dataValidation allowBlank="1" showInputMessage="1" sqref="D2:K2" xr:uid="{D2E53CF3-1907-472C-83A2-6AE04C6BA19E}"/>
  </dataValidations>
  <hyperlinks>
    <hyperlink ref="O1:Q1" location="福祉!A1" display="目次" xr:uid="{0BDB25FF-6DB7-4341-B632-2908135238E5}"/>
  </hyperlinks>
  <pageMargins left="0.25" right="0.25" top="0.75" bottom="0.75" header="0.3" footer="0.3"/>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435DE-27CB-4EAF-8D0E-47A142067401}">
  <sheetPr codeName="Sheet22">
    <tabColor theme="9" tint="0.39997558519241921"/>
  </sheetPr>
  <dimension ref="A1:Y38"/>
  <sheetViews>
    <sheetView view="pageBreakPreview" topLeftCell="A7"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376</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45014</v>
      </c>
      <c r="E4" s="68"/>
      <c r="F4" s="68"/>
      <c r="G4" s="68"/>
      <c r="H4" s="68"/>
      <c r="I4" s="68"/>
      <c r="J4" s="68"/>
      <c r="K4" s="69"/>
    </row>
    <row r="5" spans="1:25" ht="30" customHeight="1" x14ac:dyDescent="0.2">
      <c r="A5" s="65" t="s">
        <v>334</v>
      </c>
      <c r="B5" s="66"/>
      <c r="C5" s="66"/>
      <c r="D5" s="67">
        <f>VLOOKUP($D$2,福祉!$B$2:$AG$25,4,FALSE)</f>
        <v>46112</v>
      </c>
      <c r="E5" s="68"/>
      <c r="F5" s="68"/>
      <c r="G5" s="68"/>
      <c r="H5" s="68"/>
      <c r="I5" s="68"/>
      <c r="J5" s="68"/>
      <c r="K5" s="69"/>
    </row>
    <row r="6" spans="1:25" ht="30" customHeight="1" x14ac:dyDescent="0.2">
      <c r="A6" s="65" t="s">
        <v>335</v>
      </c>
      <c r="B6" s="66"/>
      <c r="C6" s="66"/>
      <c r="D6" s="67" t="str">
        <f>VLOOKUP($D$2,福祉!$B$2:$AG$25,5,FALSE)</f>
        <v>社会福祉法人　愛光会</v>
      </c>
      <c r="E6" s="68"/>
      <c r="F6" s="68"/>
      <c r="G6" s="68"/>
      <c r="H6" s="68"/>
      <c r="I6" s="68"/>
      <c r="J6" s="68"/>
      <c r="K6" s="69"/>
    </row>
    <row r="7" spans="1:25" ht="30" customHeight="1" x14ac:dyDescent="0.2">
      <c r="A7" s="65" t="s">
        <v>336</v>
      </c>
      <c r="B7" s="66"/>
      <c r="C7" s="66"/>
      <c r="D7" s="67" t="str">
        <f>VLOOKUP($D$2,福祉!$B$2:$AG$25,6,FALSE)</f>
        <v>星野　明治</v>
      </c>
      <c r="E7" s="68"/>
      <c r="F7" s="68"/>
      <c r="G7" s="68"/>
      <c r="H7" s="68"/>
      <c r="I7" s="68"/>
      <c r="J7" s="68"/>
      <c r="K7" s="69"/>
    </row>
    <row r="8" spans="1:25" ht="30" customHeight="1" x14ac:dyDescent="0.2">
      <c r="A8" s="65" t="s">
        <v>337</v>
      </c>
      <c r="B8" s="66"/>
      <c r="C8" s="66"/>
      <c r="D8" s="67" t="str">
        <f>VLOOKUP($D$2,福祉!$B$2:$AG$25,8,FALSE)</f>
        <v>沙流郡日高町富川西１２丁目６７番地４</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愛光会　在宅ケアセンター</v>
      </c>
      <c r="E12" s="85"/>
      <c r="F12" s="85" t="str">
        <f>IFERROR(VLOOKUP($D$2,福祉!$B$2:$AG$897,10,FALSE),0)</f>
        <v>沙流郡日高町富川南１丁目６－２６</v>
      </c>
      <c r="G12" s="85"/>
      <c r="H12" s="85" t="str">
        <f>IFERROR(VLOOKUP($D$2&amp;"-3",福祉!$B$2:$AG$897,9,FALSE),0)</f>
        <v>社会福祉法人　愛光会　門別愛光園</v>
      </c>
      <c r="I12" s="85"/>
      <c r="J12" s="85" t="str">
        <f>IFERROR(VLOOKUP($D$2&amp;"-3",福祉!$B$2:$AG$897,10,FALSE),0)</f>
        <v>沙流郡日高町富川西１２丁目６７－４</v>
      </c>
      <c r="K12" s="85"/>
    </row>
    <row r="13" spans="1:25" ht="50.1" customHeight="1" x14ac:dyDescent="0.2">
      <c r="A13" s="86"/>
      <c r="B13" s="87"/>
      <c r="C13" s="88"/>
      <c r="D13" s="85" t="str">
        <f>IFERROR(VLOOKUP($D$2&amp;"-2",福祉!$B$2:$AG$897,9,FALSE),0)</f>
        <v>社会福祉法人　愛光会　在宅ケアセンター門別出張所</v>
      </c>
      <c r="E13" s="85"/>
      <c r="F13" s="85" t="str">
        <f>IFERROR(VLOOKUP($D$2&amp;"-2",福祉!$B$2:$AG$897,10,FALSE),0)</f>
        <v>沙流郡日高町門別本町１２－２７</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152" t="str">
        <f>VLOOKUP($D$2,福祉!$B$2:$AG$25,15,FALSE)</f>
        <v>日高町（うち平成１８年３月１日に合併となった旧門別町の区域に限る）</v>
      </c>
      <c r="E14" s="152"/>
      <c r="F14" s="152"/>
      <c r="G14" s="152"/>
      <c r="H14" s="80"/>
      <c r="I14" s="80"/>
      <c r="J14" s="80"/>
      <c r="K14" s="81"/>
      <c r="O14" s="55"/>
      <c r="X14" s="55"/>
      <c r="Y14" s="90"/>
    </row>
    <row r="15" spans="1:25" ht="30" customHeight="1" x14ac:dyDescent="0.2">
      <c r="A15" s="77" t="s">
        <v>345</v>
      </c>
      <c r="B15" s="78"/>
      <c r="C15" s="78"/>
      <c r="D15" s="91" t="str">
        <f>VLOOKUP($D$2,福祉!$B$2:$AG$25,16,FALSE)</f>
        <v>イロハニヘト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9.8" x14ac:dyDescent="0.2">
      <c r="A22" s="109" t="s">
        <v>360</v>
      </c>
      <c r="B22" s="110"/>
      <c r="C22" s="111" t="str">
        <f>D12</f>
        <v>社会福祉法人　愛光会　在宅ケアセンター</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2</v>
      </c>
      <c r="G23" s="119">
        <f>IFERROR(VLOOKUP($D$2,福祉!$B$2:$AG$897,23,FALSE),0)</f>
        <v>0</v>
      </c>
      <c r="H23" s="119">
        <f>IFERROR(VLOOKUP($D$2,福祉!$B$2:$AG$897,25,FALSE),0)</f>
        <v>0</v>
      </c>
      <c r="I23" s="119">
        <f>IFERROR(VLOOKUP($D$2,福祉!$B$2:$AG$897,27,FALSE),0)</f>
        <v>3</v>
      </c>
      <c r="J23" s="119">
        <f>IFERROR(VLOOKUP($D$2,福祉!$B$2:$AG$897,29,FALSE),0)</f>
        <v>0</v>
      </c>
      <c r="K23" s="120">
        <f>SUM(E23:J23)</f>
        <v>5</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3</v>
      </c>
      <c r="J24" s="124"/>
      <c r="K24" s="125">
        <f>SUM(E24:I24)</f>
        <v>4</v>
      </c>
    </row>
    <row r="25" spans="1:24" ht="19.8" x14ac:dyDescent="0.2">
      <c r="A25" s="115"/>
      <c r="B25" s="116"/>
      <c r="C25" s="111" t="str">
        <f>D13</f>
        <v>社会福祉法人　愛光会　在宅ケアセンター門別出張所</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2</v>
      </c>
      <c r="G26" s="119">
        <f>IFERROR(VLOOKUP($D$2&amp;"-2",福祉!$B$2:$AG$897,23,FALSE),0)</f>
        <v>0</v>
      </c>
      <c r="H26" s="119">
        <f>IFERROR(VLOOKUP($D$2&amp;"-2",福祉!$B$2:$AG$897,25,FALSE),0)</f>
        <v>0</v>
      </c>
      <c r="I26" s="119">
        <f>IFERROR(VLOOKUP($D$2&amp;"-2",福祉!$B$2:$AG$897,27,FALSE),0)</f>
        <v>1</v>
      </c>
      <c r="J26" s="119">
        <f>IFERROR(VLOOKUP($D$2&amp;"-2",福祉!$B$2:$AG$897,29,FALSE),0)</f>
        <v>0</v>
      </c>
      <c r="K26" s="120">
        <f>SUM(E26:J26)</f>
        <v>3</v>
      </c>
    </row>
    <row r="27" spans="1:24" s="126" customFormat="1" ht="19.8" x14ac:dyDescent="0.2">
      <c r="A27" s="127"/>
      <c r="B27" s="128"/>
      <c r="C27" s="121"/>
      <c r="D27" s="122"/>
      <c r="E27" s="123">
        <f>IFERROR(VLOOKUP($D$2&amp;"-2",福祉!$B$2:$AG$897,20,FALSE),0)</f>
        <v>0</v>
      </c>
      <c r="F27" s="123">
        <f>IFERROR(VLOOKUP($D$2&amp;"-2",福祉!$B$2:$AG$897,22,FALSE),0)</f>
        <v>2</v>
      </c>
      <c r="G27" s="123">
        <f>IFERROR(VLOOKUP($D$2&amp;"-2",福祉!$B$2:$AG$897,24,FALSE),0)</f>
        <v>0</v>
      </c>
      <c r="H27" s="123">
        <f>IFERROR(VLOOKUP($D$2&amp;"-2",福祉!$B$2:$AG$897,26,FALSE),0)</f>
        <v>0</v>
      </c>
      <c r="I27" s="123">
        <f>IFERROR(VLOOKUP($D$2&amp;"-2",福祉!$B$2:$AG$2897,28,FALSE),0)</f>
        <v>1</v>
      </c>
      <c r="J27" s="124"/>
      <c r="K27" s="125">
        <f>SUM(E27:I27)</f>
        <v>3</v>
      </c>
    </row>
    <row r="28" spans="1:24" ht="19.8" x14ac:dyDescent="0.2">
      <c r="A28" s="129"/>
      <c r="B28" s="95"/>
      <c r="C28" s="111" t="str">
        <f>H12</f>
        <v>社会福祉法人　愛光会　門別愛光園</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1</v>
      </c>
      <c r="G29" s="119">
        <f>IFERROR(VLOOKUP($D$2&amp;"-3",福祉!$B$2:$AG$897,23,FALSE),0)</f>
        <v>1</v>
      </c>
      <c r="H29" s="119">
        <f>IFERROR(VLOOKUP($D$2&amp;"-3",福祉!$B$2:$AG$897,25,FALSE),0)</f>
        <v>0</v>
      </c>
      <c r="I29" s="119">
        <f>IFERROR(VLOOKUP($D$2&amp;"-3",福祉!$B$2:$AG$897,27,FALSE),0)</f>
        <v>1</v>
      </c>
      <c r="J29" s="119">
        <f>IFERROR(VLOOKUP($D$2&amp;"-3",福祉!$B$2:$AG$897,29,FALSE),0)</f>
        <v>0</v>
      </c>
      <c r="K29" s="120">
        <f>SUM(E29:J29)</f>
        <v>3</v>
      </c>
    </row>
    <row r="30" spans="1:24" s="126" customFormat="1" ht="19.8" x14ac:dyDescent="0.2">
      <c r="A30" s="130"/>
      <c r="B30" s="131"/>
      <c r="C30" s="121"/>
      <c r="D30" s="122"/>
      <c r="E30" s="123">
        <f>IFERROR(VLOOKUP($D$2&amp;"-3",福祉!$B$2:$AG$897,20,FALSE),0)</f>
        <v>0</v>
      </c>
      <c r="F30" s="123">
        <f>IFERROR(VLOOKUP($D$2&amp;"-3",福祉!$B$2:$AG$897,22,FALSE),0)</f>
        <v>-3</v>
      </c>
      <c r="G30" s="123">
        <f>IFERROR(VLOOKUP($D$2&amp;"-3",福祉!$B$2:$AG$897,24,FALSE),0)</f>
        <v>-1</v>
      </c>
      <c r="H30" s="123">
        <f>IFERROR(VLOOKUP($D$2&amp;"-3",福祉!$B$2:$AG$897,26,FALSE),0)</f>
        <v>0</v>
      </c>
      <c r="I30" s="123">
        <f>IFERROR(VLOOKUP($D$2&amp;"-3",福祉!$B$2:$AG$2897,28,FALSE),0)</f>
        <v>-4</v>
      </c>
      <c r="J30" s="124"/>
      <c r="K30" s="125">
        <f>SUM(E30:I30)</f>
        <v>-8</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5</v>
      </c>
      <c r="G35" s="119">
        <f t="shared" si="0"/>
        <v>1</v>
      </c>
      <c r="H35" s="119">
        <f t="shared" si="0"/>
        <v>0</v>
      </c>
      <c r="I35" s="119">
        <f t="shared" si="0"/>
        <v>5</v>
      </c>
      <c r="J35" s="119">
        <f t="shared" si="0"/>
        <v>0</v>
      </c>
      <c r="K35" s="120">
        <f>SUM(E35:J35)</f>
        <v>11</v>
      </c>
    </row>
    <row r="36" spans="1:11" ht="20.399999999999999" thickBot="1" x14ac:dyDescent="0.25">
      <c r="A36" s="142"/>
      <c r="B36" s="143"/>
      <c r="C36" s="144"/>
      <c r="D36" s="145"/>
      <c r="E36" s="146">
        <f>SUM(E24+E27+E30+E33)</f>
        <v>0</v>
      </c>
      <c r="F36" s="146">
        <f>SUM(F24+F27+F30+F33)</f>
        <v>0</v>
      </c>
      <c r="G36" s="146">
        <f>SUM(G24+G27+G30+G33)</f>
        <v>-1</v>
      </c>
      <c r="H36" s="146">
        <f>SUM(H24+H27+H30+H33)</f>
        <v>0</v>
      </c>
      <c r="I36" s="146">
        <f>SUM(I24+I27+I30+I33)</f>
        <v>0</v>
      </c>
      <c r="J36" s="147"/>
      <c r="K36" s="148">
        <f>SUM(E36:I36)</f>
        <v>-1</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pUik4J1iyOCFRFbEObiBCLJ869wLgumZfCi0WPAB5uP1yaItEDKHOpSPaYeYgdZeyB+/Gv1dRHljofxL+reqTg==" saltValue="VrRtG5WVTUau1FSlPuIZf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532CBB61-4D7F-4D1E-BF43-F01E95A3D120}"/>
    <dataValidation type="list" allowBlank="1" showInputMessage="1" sqref="A22:B33" xr:uid="{FDA9ECBE-EE68-4785-8152-648280D4E33B}">
      <formula1>"交通空白地有償運送,福祉有償運送"</formula1>
    </dataValidation>
    <dataValidation type="list" allowBlank="1" showInputMessage="1" sqref="D10" xr:uid="{4F46A714-5107-4023-9C2E-E926CE686656}">
      <formula1>"○"</formula1>
    </dataValidation>
  </dataValidations>
  <hyperlinks>
    <hyperlink ref="O1:Q1" location="福祉!A1" display="目次" xr:uid="{FE1FB2FE-A0DB-49C4-A201-29B407A02797}"/>
  </hyperlinks>
  <pageMargins left="0.25" right="0.25" top="0.75" bottom="0.75" header="0.3" footer="0.3"/>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FC479-35DB-4516-8DB5-E34EBE61A12E}">
  <sheetPr codeName="Sheet23">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377</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44981</v>
      </c>
      <c r="E4" s="68"/>
      <c r="F4" s="68"/>
      <c r="G4" s="68"/>
      <c r="H4" s="68"/>
      <c r="I4" s="68"/>
      <c r="J4" s="68"/>
      <c r="K4" s="69"/>
    </row>
    <row r="5" spans="1:25" ht="30" customHeight="1" x14ac:dyDescent="0.2">
      <c r="A5" s="65" t="s">
        <v>334</v>
      </c>
      <c r="B5" s="66"/>
      <c r="C5" s="66"/>
      <c r="D5" s="67">
        <f>VLOOKUP($D$2,福祉!$B$2:$AG$25,4,FALSE)</f>
        <v>46116</v>
      </c>
      <c r="E5" s="68"/>
      <c r="F5" s="68"/>
      <c r="G5" s="68"/>
      <c r="H5" s="68"/>
      <c r="I5" s="68"/>
      <c r="J5" s="68"/>
      <c r="K5" s="69"/>
    </row>
    <row r="6" spans="1:25" ht="30" customHeight="1" x14ac:dyDescent="0.2">
      <c r="A6" s="65" t="s">
        <v>335</v>
      </c>
      <c r="B6" s="66"/>
      <c r="C6" s="66"/>
      <c r="D6" s="67" t="str">
        <f>VLOOKUP($D$2,福祉!$B$2:$AG$25,5,FALSE)</f>
        <v>医療法人社団　養生館</v>
      </c>
      <c r="E6" s="68"/>
      <c r="F6" s="68"/>
      <c r="G6" s="68"/>
      <c r="H6" s="68"/>
      <c r="I6" s="68"/>
      <c r="J6" s="68"/>
      <c r="K6" s="69"/>
    </row>
    <row r="7" spans="1:25" ht="30" customHeight="1" x14ac:dyDescent="0.2">
      <c r="A7" s="65" t="s">
        <v>336</v>
      </c>
      <c r="B7" s="66"/>
      <c r="C7" s="66"/>
      <c r="D7" s="67" t="str">
        <f>VLOOKUP($D$2,福祉!$B$2:$AG$25,6,FALSE)</f>
        <v>舘山　美樹</v>
      </c>
      <c r="E7" s="68"/>
      <c r="F7" s="68"/>
      <c r="G7" s="68"/>
      <c r="H7" s="68"/>
      <c r="I7" s="68"/>
      <c r="J7" s="68"/>
      <c r="K7" s="69"/>
    </row>
    <row r="8" spans="1:25" ht="30" customHeight="1" x14ac:dyDescent="0.2">
      <c r="A8" s="65" t="s">
        <v>337</v>
      </c>
      <c r="B8" s="66"/>
      <c r="C8" s="66"/>
      <c r="D8" s="67" t="str">
        <f>VLOOKUP($D$2,福祉!$B$2:$AG$25,8,FALSE)</f>
        <v>苫小牧市矢代町２丁目１８番１号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日翔訪問介護センター</v>
      </c>
      <c r="E12" s="85"/>
      <c r="F12" s="85" t="str">
        <f>IFERROR(VLOOKUP($D$2,福祉!$B$2:$AG$897,10,FALSE),0)</f>
        <v>苫小牧市青葉町２丁目９番１９号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苫小牧市</v>
      </c>
      <c r="E14" s="80"/>
      <c r="F14" s="80"/>
      <c r="G14" s="80"/>
      <c r="H14" s="80"/>
      <c r="I14" s="80"/>
      <c r="J14" s="80"/>
      <c r="K14" s="81"/>
      <c r="O14" s="55"/>
      <c r="X14" s="55"/>
      <c r="Y14" s="90"/>
    </row>
    <row r="15" spans="1:25" ht="30" customHeight="1" x14ac:dyDescent="0.2">
      <c r="A15" s="77" t="s">
        <v>345</v>
      </c>
      <c r="B15" s="78"/>
      <c r="C15" s="78"/>
      <c r="D15" s="91" t="str">
        <f>VLOOKUP($D$2,福祉!$B$2:$AG$25,16,FALSE)</f>
        <v>ロ、ニ</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日翔訪問介護センター</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2</v>
      </c>
      <c r="I23" s="119">
        <f>IFERROR(VLOOKUP($D$2,福祉!$B$2:$AG$897,27,FALSE),0)</f>
        <v>0</v>
      </c>
      <c r="J23" s="119">
        <f>IFERROR(VLOOKUP($D$2,福祉!$B$2:$AG$897,29,FALSE),0)</f>
        <v>0</v>
      </c>
      <c r="K23" s="120">
        <f>SUM(E23:J23)</f>
        <v>3</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2</v>
      </c>
      <c r="I24" s="123">
        <f>IFERROR(VLOOKUP($D$2,福祉!$B$2:$AG$2897,28,FALSE),0)</f>
        <v>0</v>
      </c>
      <c r="J24" s="124"/>
      <c r="K24" s="125">
        <f>SUM(E24:I24)</f>
        <v>3</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2</v>
      </c>
      <c r="I35" s="119">
        <f t="shared" si="0"/>
        <v>0</v>
      </c>
      <c r="J35" s="119">
        <f t="shared" si="0"/>
        <v>0</v>
      </c>
      <c r="K35" s="120">
        <f>SUM(E35:J35)</f>
        <v>3</v>
      </c>
    </row>
    <row r="36" spans="1:11" ht="20.399999999999999" thickBot="1" x14ac:dyDescent="0.25">
      <c r="A36" s="142"/>
      <c r="B36" s="143"/>
      <c r="C36" s="144"/>
      <c r="D36" s="145"/>
      <c r="E36" s="146">
        <f>SUM(E24+E27+E30+E33)</f>
        <v>0</v>
      </c>
      <c r="F36" s="146">
        <f>SUM(F24+F27+F30+F33)</f>
        <v>1</v>
      </c>
      <c r="G36" s="146">
        <f>SUM(G24+G27+G30+G33)</f>
        <v>0</v>
      </c>
      <c r="H36" s="146">
        <f>SUM(H24+H27+H30+H33)</f>
        <v>2</v>
      </c>
      <c r="I36" s="146">
        <f>SUM(I24+I27+I30+I33)</f>
        <v>0</v>
      </c>
      <c r="J36" s="147"/>
      <c r="K36" s="148">
        <f>SUM(E36:I36)</f>
        <v>3</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BHTd2WIZ+/i7Zl0Zo/4C8z8AP5kEN1YQSjYnvu0GJW4UG6StEaUMhc6SIdpbOt/b0sn8PmTYL9FK5pbGVNnNHg==" saltValue="f3Q7Mx2pjOhPntqfLb4Jb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DE22446-8B21-4310-9C61-B6AE6767C9A9}">
      <formula1>"○"</formula1>
    </dataValidation>
    <dataValidation type="list" allowBlank="1" showInputMessage="1" sqref="A22:B33" xr:uid="{C5F1F230-70BB-452A-803B-373E1F85A539}">
      <formula1>"交通空白地有償運送,福祉有償運送"</formula1>
    </dataValidation>
    <dataValidation allowBlank="1" showInputMessage="1" sqref="D2:K2" xr:uid="{2363D80A-8C10-46EA-857A-231E0CA89306}"/>
  </dataValidations>
  <hyperlinks>
    <hyperlink ref="O1:Q1" location="福祉!A1" display="目次" xr:uid="{4A5659C5-C307-49C9-87A9-D05D4B2740FD}"/>
  </hyperlinks>
  <pageMargins left="0.25" right="0.25" top="0.75" bottom="0.75" header="0.3" footer="0.3"/>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A0CEC-9FCF-439D-A102-29D56EE080D5}">
  <sheetPr codeName="Sheet25">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378</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43920</v>
      </c>
      <c r="E4" s="68"/>
      <c r="F4" s="68"/>
      <c r="G4" s="68"/>
      <c r="H4" s="68"/>
      <c r="I4" s="68"/>
      <c r="J4" s="68"/>
      <c r="K4" s="69"/>
    </row>
    <row r="5" spans="1:25" ht="30" customHeight="1" x14ac:dyDescent="0.2">
      <c r="A5" s="65" t="s">
        <v>334</v>
      </c>
      <c r="B5" s="66"/>
      <c r="C5" s="66"/>
      <c r="D5" s="67">
        <f>VLOOKUP($D$2,福祉!$B$2:$AG$25,4,FALSE)</f>
        <v>46116</v>
      </c>
      <c r="E5" s="68"/>
      <c r="F5" s="68"/>
      <c r="G5" s="68"/>
      <c r="H5" s="68"/>
      <c r="I5" s="68"/>
      <c r="J5" s="68"/>
      <c r="K5" s="69"/>
    </row>
    <row r="6" spans="1:25" ht="30" customHeight="1" x14ac:dyDescent="0.2">
      <c r="A6" s="65" t="s">
        <v>335</v>
      </c>
      <c r="B6" s="66"/>
      <c r="C6" s="66"/>
      <c r="D6" s="67" t="str">
        <f>VLOOKUP($D$2,福祉!$B$2:$AG$25,5,FALSE)</f>
        <v>社会福祉法人　伊達コスモス２１</v>
      </c>
      <c r="E6" s="68"/>
      <c r="F6" s="68"/>
      <c r="G6" s="68"/>
      <c r="H6" s="68"/>
      <c r="I6" s="68"/>
      <c r="J6" s="68"/>
      <c r="K6" s="69"/>
    </row>
    <row r="7" spans="1:25" ht="30" customHeight="1" x14ac:dyDescent="0.2">
      <c r="A7" s="65" t="s">
        <v>336</v>
      </c>
      <c r="B7" s="66"/>
      <c r="C7" s="66"/>
      <c r="D7" s="67" t="str">
        <f>VLOOKUP($D$2,福祉!$B$2:$AG$25,6,FALSE)</f>
        <v>大垣　勲男</v>
      </c>
      <c r="E7" s="68"/>
      <c r="F7" s="68"/>
      <c r="G7" s="68"/>
      <c r="H7" s="68"/>
      <c r="I7" s="68"/>
      <c r="J7" s="68"/>
      <c r="K7" s="69"/>
    </row>
    <row r="8" spans="1:25" ht="30" customHeight="1" x14ac:dyDescent="0.2">
      <c r="A8" s="65" t="s">
        <v>337</v>
      </c>
      <c r="B8" s="66"/>
      <c r="C8" s="66"/>
      <c r="D8" s="67" t="str">
        <f>VLOOKUP($D$2,福祉!$B$2:$AG$25,8,FALSE)</f>
        <v>伊達市松ヶ枝町５９番地４</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伊達コスモス２１</v>
      </c>
      <c r="E12" s="85"/>
      <c r="F12" s="85" t="str">
        <f>IFERROR(VLOOKUP($D$2,福祉!$B$2:$AG$897,10,FALSE),0)</f>
        <v>伊達市松ヶ枝町５９番地４</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152" t="str">
        <f>VLOOKUP($D$2,福祉!$B$2:$AG$25,15,FALSE)</f>
        <v>伊達市（うち平成１８年３月１日に合併となった旧大滝村の区域に限る）</v>
      </c>
      <c r="E14" s="152"/>
      <c r="F14" s="152"/>
      <c r="G14" s="152"/>
      <c r="H14" s="80"/>
      <c r="I14" s="80"/>
      <c r="J14" s="80"/>
      <c r="K14" s="81"/>
      <c r="O14" s="55"/>
      <c r="X14" s="55"/>
      <c r="Y14" s="90"/>
    </row>
    <row r="15" spans="1:25" ht="30" customHeight="1" x14ac:dyDescent="0.2">
      <c r="A15" s="77" t="s">
        <v>345</v>
      </c>
      <c r="B15" s="78"/>
      <c r="C15" s="78"/>
      <c r="D15" s="91" t="str">
        <f>VLOOKUP($D$2,福祉!$B$2:$AG$25,16,FALSE)</f>
        <v>イニ</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伊達コスモス２１</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3</v>
      </c>
      <c r="G23" s="119">
        <f>IFERROR(VLOOKUP($D$2,福祉!$B$2:$AG$897,23,FALSE),0)</f>
        <v>1</v>
      </c>
      <c r="H23" s="119">
        <f>IFERROR(VLOOKUP($D$2,福祉!$B$2:$AG$897,25,FALSE),0)</f>
        <v>0</v>
      </c>
      <c r="I23" s="119">
        <f>IFERROR(VLOOKUP($D$2,福祉!$B$2:$AG$897,27,FALSE),0)</f>
        <v>0</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0</v>
      </c>
      <c r="J24" s="124"/>
      <c r="K24" s="125">
        <f>SUM(E24:I24)</f>
        <v>0</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3</v>
      </c>
      <c r="G35" s="119">
        <f t="shared" si="0"/>
        <v>1</v>
      </c>
      <c r="H35" s="119">
        <f t="shared" si="0"/>
        <v>0</v>
      </c>
      <c r="I35" s="119">
        <f t="shared" si="0"/>
        <v>0</v>
      </c>
      <c r="J35" s="119">
        <f t="shared" si="0"/>
        <v>0</v>
      </c>
      <c r="K35" s="120">
        <f>SUM(E35:J35)</f>
        <v>4</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0</v>
      </c>
      <c r="J36" s="147"/>
      <c r="K36" s="148">
        <f>SUM(E36:I36)</f>
        <v>0</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2W0d6y7od4dqFIEfHKaTFJxwWBHwK/3j26lZzVBTFyMR5zjMh2JBrCrLr/mCqEOD+dmk4Ecwn27P+uYR1bIQLw==" saltValue="kGNdk2QCo8/kjd+aOn3wM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5E9B532E-2BCD-46A3-8BEF-52B103043CAA}">
      <formula1>"○"</formula1>
    </dataValidation>
    <dataValidation type="list" allowBlank="1" showInputMessage="1" sqref="A22:B33" xr:uid="{D18CBC78-ABB1-4E43-91A2-B701A557F42F}">
      <formula1>"交通空白地有償運送,福祉有償運送"</formula1>
    </dataValidation>
    <dataValidation allowBlank="1" showInputMessage="1" sqref="D2:K2" xr:uid="{728293D6-6011-4C4F-B7A0-33B6771AA100}"/>
  </dataValidations>
  <hyperlinks>
    <hyperlink ref="O1:Q1" location="福祉!A1" display="目次" xr:uid="{8B72FA3C-F95B-4D36-B703-0CDD75603EE8}"/>
  </hyperlinks>
  <pageMargins left="0.25" right="0.25" top="0.75" bottom="0.75" header="0.3" footer="0.3"/>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2964F-FD4A-44A5-88C4-3841FE7C956F}">
  <sheetPr codeName="Sheet3"/>
  <dimension ref="A1:L16"/>
  <sheetViews>
    <sheetView view="pageBreakPreview" zoomScale="82" zoomScaleNormal="100" zoomScaleSheetLayoutView="82" workbookViewId="0">
      <selection activeCell="E27" sqref="E27"/>
    </sheetView>
  </sheetViews>
  <sheetFormatPr defaultColWidth="9" defaultRowHeight="18" x14ac:dyDescent="0.2"/>
  <cols>
    <col min="1" max="1" width="5.109375" style="49" customWidth="1"/>
    <col min="2" max="16384" width="9" style="49"/>
  </cols>
  <sheetData>
    <row r="1" spans="1:12" ht="30" customHeight="1" x14ac:dyDescent="0.2">
      <c r="A1" s="48" t="s">
        <v>311</v>
      </c>
    </row>
    <row r="2" spans="1:12" ht="30" customHeight="1" x14ac:dyDescent="0.2">
      <c r="A2" s="50" t="s">
        <v>312</v>
      </c>
      <c r="B2" s="50"/>
      <c r="C2" s="50"/>
      <c r="D2" s="50"/>
      <c r="E2" s="50"/>
      <c r="F2" s="50"/>
      <c r="G2" s="50"/>
      <c r="H2" s="50"/>
      <c r="I2" s="50"/>
      <c r="J2" s="50"/>
      <c r="K2" s="50"/>
      <c r="L2" s="50"/>
    </row>
    <row r="3" spans="1:12" ht="30" customHeight="1" x14ac:dyDescent="0.2">
      <c r="A3" s="51" t="s">
        <v>313</v>
      </c>
      <c r="B3" s="52" t="s">
        <v>314</v>
      </c>
      <c r="C3" s="52"/>
      <c r="D3" s="52"/>
      <c r="E3" s="52"/>
      <c r="F3" s="52"/>
      <c r="G3" s="52"/>
      <c r="H3" s="52"/>
      <c r="I3" s="52"/>
      <c r="J3" s="52"/>
      <c r="K3" s="52"/>
      <c r="L3" s="52"/>
    </row>
    <row r="4" spans="1:12" ht="30" customHeight="1" x14ac:dyDescent="0.2">
      <c r="A4" s="51" t="s">
        <v>315</v>
      </c>
      <c r="B4" s="52" t="s">
        <v>316</v>
      </c>
      <c r="C4" s="52"/>
      <c r="D4" s="52"/>
      <c r="E4" s="52"/>
      <c r="F4" s="52"/>
      <c r="G4" s="52"/>
      <c r="H4" s="52"/>
      <c r="I4" s="52"/>
      <c r="J4" s="52"/>
      <c r="K4" s="52"/>
      <c r="L4" s="52"/>
    </row>
    <row r="5" spans="1:12" ht="30" customHeight="1" x14ac:dyDescent="0.2">
      <c r="A5" s="51" t="s">
        <v>317</v>
      </c>
      <c r="B5" s="52" t="s">
        <v>318</v>
      </c>
      <c r="C5" s="52"/>
      <c r="D5" s="52"/>
      <c r="E5" s="52"/>
      <c r="F5" s="52"/>
      <c r="G5" s="52"/>
      <c r="H5" s="52"/>
      <c r="I5" s="52"/>
      <c r="J5" s="52"/>
      <c r="K5" s="52"/>
      <c r="L5" s="52"/>
    </row>
    <row r="6" spans="1:12" ht="30" customHeight="1" x14ac:dyDescent="0.2">
      <c r="A6" s="51" t="s">
        <v>319</v>
      </c>
      <c r="B6" s="53" t="s">
        <v>320</v>
      </c>
      <c r="C6" s="53"/>
      <c r="D6" s="53"/>
      <c r="E6" s="53"/>
      <c r="F6" s="53"/>
      <c r="G6" s="53"/>
      <c r="H6" s="53"/>
      <c r="I6" s="53"/>
      <c r="J6" s="53"/>
      <c r="K6" s="53"/>
      <c r="L6" s="53"/>
    </row>
    <row r="7" spans="1:12" ht="30" customHeight="1" x14ac:dyDescent="0.2">
      <c r="A7" s="51" t="s">
        <v>321</v>
      </c>
      <c r="B7" s="52" t="s">
        <v>322</v>
      </c>
      <c r="C7" s="52"/>
      <c r="D7" s="52"/>
      <c r="E7" s="52"/>
      <c r="F7" s="52"/>
      <c r="G7" s="52"/>
      <c r="H7" s="52"/>
      <c r="I7" s="52"/>
      <c r="J7" s="52"/>
      <c r="K7" s="52"/>
      <c r="L7" s="52"/>
    </row>
    <row r="8" spans="1:12" ht="30" customHeight="1" x14ac:dyDescent="0.2">
      <c r="A8" s="51" t="s">
        <v>323</v>
      </c>
      <c r="B8" s="52" t="s">
        <v>324</v>
      </c>
      <c r="C8" s="52"/>
      <c r="D8" s="52"/>
      <c r="E8" s="52"/>
      <c r="F8" s="52"/>
      <c r="G8" s="52"/>
      <c r="H8" s="52"/>
      <c r="I8" s="52"/>
      <c r="J8" s="52"/>
      <c r="K8" s="52"/>
      <c r="L8" s="52"/>
    </row>
    <row r="9" spans="1:12" ht="30" customHeight="1" x14ac:dyDescent="0.2">
      <c r="A9" s="51" t="s">
        <v>325</v>
      </c>
      <c r="B9" s="52" t="s">
        <v>326</v>
      </c>
      <c r="C9" s="52"/>
      <c r="D9" s="52"/>
      <c r="E9" s="52"/>
      <c r="F9" s="52"/>
      <c r="G9" s="52"/>
      <c r="H9" s="52"/>
      <c r="I9" s="52"/>
      <c r="J9" s="52"/>
      <c r="K9" s="52"/>
      <c r="L9" s="52"/>
    </row>
    <row r="10" spans="1:12" ht="17.25" customHeight="1" x14ac:dyDescent="0.2">
      <c r="A10" s="54"/>
      <c r="B10" s="55"/>
      <c r="C10" s="55"/>
      <c r="D10" s="55"/>
      <c r="E10" s="55"/>
      <c r="F10" s="55"/>
      <c r="G10" s="55"/>
      <c r="H10" s="55"/>
      <c r="I10" s="55"/>
      <c r="J10" s="55"/>
      <c r="K10" s="55"/>
      <c r="L10" s="55"/>
    </row>
    <row r="11" spans="1:12" ht="30" customHeight="1" x14ac:dyDescent="0.2">
      <c r="A11" s="50" t="s">
        <v>327</v>
      </c>
      <c r="B11" s="50"/>
      <c r="C11" s="50"/>
      <c r="D11" s="50"/>
      <c r="E11" s="50"/>
      <c r="F11" s="50"/>
      <c r="G11" s="50"/>
      <c r="H11" s="50"/>
      <c r="I11" s="50"/>
      <c r="J11" s="50"/>
      <c r="K11" s="50"/>
      <c r="L11" s="50"/>
    </row>
    <row r="12" spans="1:12" ht="30" customHeight="1" x14ac:dyDescent="0.2">
      <c r="A12" s="51" t="s">
        <v>313</v>
      </c>
      <c r="B12" s="52" t="s">
        <v>314</v>
      </c>
      <c r="C12" s="52"/>
      <c r="D12" s="52"/>
      <c r="E12" s="52"/>
      <c r="F12" s="52"/>
      <c r="G12" s="52"/>
      <c r="H12" s="52"/>
      <c r="I12" s="52"/>
      <c r="J12" s="52"/>
      <c r="K12" s="52"/>
      <c r="L12" s="52"/>
    </row>
    <row r="13" spans="1:12" ht="30" customHeight="1" x14ac:dyDescent="0.2">
      <c r="A13" s="51" t="s">
        <v>315</v>
      </c>
      <c r="B13" s="53" t="s">
        <v>320</v>
      </c>
      <c r="C13" s="53"/>
      <c r="D13" s="53"/>
      <c r="E13" s="53"/>
      <c r="F13" s="53"/>
      <c r="G13" s="53"/>
      <c r="H13" s="53"/>
      <c r="I13" s="53"/>
      <c r="J13" s="53"/>
      <c r="K13" s="53"/>
      <c r="L13" s="53"/>
    </row>
    <row r="14" spans="1:12" ht="30" customHeight="1" x14ac:dyDescent="0.2">
      <c r="A14" s="51" t="s">
        <v>317</v>
      </c>
      <c r="B14" s="52" t="s">
        <v>322</v>
      </c>
      <c r="C14" s="52"/>
      <c r="D14" s="52"/>
      <c r="E14" s="52"/>
      <c r="F14" s="52"/>
      <c r="G14" s="52"/>
      <c r="H14" s="52"/>
      <c r="I14" s="52"/>
      <c r="J14" s="52"/>
      <c r="K14" s="52"/>
      <c r="L14" s="52"/>
    </row>
    <row r="15" spans="1:12" ht="30" customHeight="1" x14ac:dyDescent="0.2">
      <c r="A15" s="51" t="s">
        <v>319</v>
      </c>
      <c r="B15" s="52" t="s">
        <v>326</v>
      </c>
      <c r="C15" s="52"/>
      <c r="D15" s="52"/>
      <c r="E15" s="52"/>
      <c r="F15" s="52"/>
      <c r="G15" s="52"/>
      <c r="H15" s="52"/>
      <c r="I15" s="52"/>
      <c r="J15" s="52"/>
      <c r="K15" s="52"/>
      <c r="L15" s="52"/>
    </row>
    <row r="16" spans="1:12" ht="30" customHeight="1" x14ac:dyDescent="0.2"/>
  </sheetData>
  <sheetProtection algorithmName="SHA-512" hashValue="QfcwGdao61hrCdTu+NB0Pq1D/FdNRdHkzqK00O5wN/mmsHrJF2l4qJuWPHoH6Y6z5aWMzX9ZrQkVtiG4hZx5Hg==" saltValue="MexG/Mt2uVYeyK5ERjBpgw==" spinCount="100000" sheet="1" objects="1" scenarios="1"/>
  <mergeCells count="13">
    <mergeCell ref="B15:L15"/>
    <mergeCell ref="B8:L8"/>
    <mergeCell ref="B9:L9"/>
    <mergeCell ref="A11:L11"/>
    <mergeCell ref="B12:L12"/>
    <mergeCell ref="B13:L13"/>
    <mergeCell ref="B14:L14"/>
    <mergeCell ref="A2:L2"/>
    <mergeCell ref="B3:L3"/>
    <mergeCell ref="B4:L4"/>
    <mergeCell ref="B5:L5"/>
    <mergeCell ref="B6:L6"/>
    <mergeCell ref="B7:L7"/>
  </mergeCells>
  <phoneticPr fontId="6"/>
  <pageMargins left="0.25" right="0.25" top="0.75" bottom="0.75" header="0.3" footer="0.3"/>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EBC7F-FB91-4274-9D02-7B4E82EEB20B}">
  <sheetPr codeName="Sheet26">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379</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44990</v>
      </c>
      <c r="E4" s="68"/>
      <c r="F4" s="68"/>
      <c r="G4" s="68"/>
      <c r="H4" s="68"/>
      <c r="I4" s="68"/>
      <c r="J4" s="68"/>
      <c r="K4" s="69"/>
    </row>
    <row r="5" spans="1:25" ht="30" customHeight="1" x14ac:dyDescent="0.2">
      <c r="A5" s="65" t="s">
        <v>334</v>
      </c>
      <c r="B5" s="66"/>
      <c r="C5" s="66"/>
      <c r="D5" s="67">
        <f>VLOOKUP($D$2,福祉!$B$2:$AG$25,4,FALSE)</f>
        <v>46112</v>
      </c>
      <c r="E5" s="68"/>
      <c r="F5" s="68"/>
      <c r="G5" s="68"/>
      <c r="H5" s="68"/>
      <c r="I5" s="68"/>
      <c r="J5" s="68"/>
      <c r="K5" s="69"/>
    </row>
    <row r="6" spans="1:25" ht="30" customHeight="1" x14ac:dyDescent="0.2">
      <c r="A6" s="65" t="s">
        <v>335</v>
      </c>
      <c r="B6" s="66"/>
      <c r="C6" s="66"/>
      <c r="D6" s="67" t="str">
        <f>VLOOKUP($D$2,福祉!$B$2:$AG$25,5,FALSE)</f>
        <v>社会福祉法人　白老町社会福祉協議会</v>
      </c>
      <c r="E6" s="68"/>
      <c r="F6" s="68"/>
      <c r="G6" s="68"/>
      <c r="H6" s="68"/>
      <c r="I6" s="68"/>
      <c r="J6" s="68"/>
      <c r="K6" s="69"/>
    </row>
    <row r="7" spans="1:25" ht="30" customHeight="1" x14ac:dyDescent="0.2">
      <c r="A7" s="65" t="s">
        <v>336</v>
      </c>
      <c r="B7" s="66"/>
      <c r="C7" s="66"/>
      <c r="D7" s="67" t="str">
        <f>VLOOKUP($D$2,福祉!$B$2:$AG$25,6,FALSE)</f>
        <v>山﨑　宏一</v>
      </c>
      <c r="E7" s="68"/>
      <c r="F7" s="68"/>
      <c r="G7" s="68"/>
      <c r="H7" s="68"/>
      <c r="I7" s="68"/>
      <c r="J7" s="68"/>
      <c r="K7" s="69"/>
    </row>
    <row r="8" spans="1:25" ht="30" customHeight="1" x14ac:dyDescent="0.2">
      <c r="A8" s="65" t="s">
        <v>337</v>
      </c>
      <c r="B8" s="66"/>
      <c r="C8" s="66"/>
      <c r="D8" s="67" t="str">
        <f>VLOOKUP($D$2,福祉!$B$2:$AG$25,8,FALSE)</f>
        <v>白老郡白老町東町４丁目６番７号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白老町社会福祉協議会</v>
      </c>
      <c r="E12" s="85"/>
      <c r="F12" s="85" t="str">
        <f>IFERROR(VLOOKUP($D$2,福祉!$B$2:$AG$897,10,FALSE),0)</f>
        <v>白老郡白老町東町４丁目６番７号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白老町</v>
      </c>
      <c r="E14" s="80"/>
      <c r="F14" s="80"/>
      <c r="G14" s="80"/>
      <c r="H14" s="80"/>
      <c r="I14" s="80"/>
      <c r="J14" s="80"/>
      <c r="K14" s="81"/>
      <c r="O14" s="55"/>
      <c r="X14" s="55"/>
      <c r="Y14" s="90"/>
    </row>
    <row r="15" spans="1:25" ht="30" customHeight="1" x14ac:dyDescent="0.2">
      <c r="A15" s="77" t="s">
        <v>345</v>
      </c>
      <c r="B15" s="78"/>
      <c r="C15" s="78"/>
      <c r="D15" s="91" t="str">
        <f>VLOOKUP($D$2,福祉!$B$2:$AG$25,16,FALSE)</f>
        <v>イロハニホヘト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9.8" x14ac:dyDescent="0.2">
      <c r="A22" s="109" t="s">
        <v>360</v>
      </c>
      <c r="B22" s="110"/>
      <c r="C22" s="111" t="str">
        <f>D12</f>
        <v>社会福祉法人　白老町社会福祉協議会</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5</v>
      </c>
      <c r="H23" s="119">
        <f>IFERROR(VLOOKUP($D$2,福祉!$B$2:$AG$897,25,FALSE),0)</f>
        <v>0</v>
      </c>
      <c r="I23" s="119">
        <f>IFERROR(VLOOKUP($D$2,福祉!$B$2:$AG$897,27,FALSE),0)</f>
        <v>4</v>
      </c>
      <c r="J23" s="119">
        <f>IFERROR(VLOOKUP($D$2,福祉!$B$2:$AG$897,29,FALSE),0)</f>
        <v>0</v>
      </c>
      <c r="K23" s="120">
        <f>SUM(E23:J23)</f>
        <v>10</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3</v>
      </c>
      <c r="J24" s="124"/>
      <c r="K24" s="125">
        <f>SUM(E24:I24)</f>
        <v>4</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5</v>
      </c>
      <c r="H35" s="119">
        <f t="shared" si="0"/>
        <v>0</v>
      </c>
      <c r="I35" s="119">
        <f t="shared" si="0"/>
        <v>4</v>
      </c>
      <c r="J35" s="119">
        <f t="shared" si="0"/>
        <v>0</v>
      </c>
      <c r="K35" s="120">
        <f>SUM(E35:J35)</f>
        <v>10</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3</v>
      </c>
      <c r="J36" s="147"/>
      <c r="K36" s="148">
        <f>SUM(E36:I36)</f>
        <v>4</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euzG7nJEykSVZpa1PYaNM7+ffsTZq9uKvEKlsI/QWe4pwp66jCADKOcqYBojX40w/+lzF9IwK17YSUuEZZVNwQ==" saltValue="xw8dpqGKBLSLKwkQVA5cc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DD0153BB-DC85-47ED-BAFD-DDA09AC9B15A}"/>
    <dataValidation type="list" allowBlank="1" showInputMessage="1" sqref="A22:B33" xr:uid="{325EED93-C2F6-4BA1-86CD-40EDDDC476A0}">
      <formula1>"交通空白地有償運送,福祉有償運送"</formula1>
    </dataValidation>
    <dataValidation type="list" allowBlank="1" showInputMessage="1" sqref="D10" xr:uid="{BAEE83A2-ED89-437F-A09A-2E933F006882}">
      <formula1>"○"</formula1>
    </dataValidation>
  </dataValidations>
  <hyperlinks>
    <hyperlink ref="O1:Q1" location="福祉!A1" display="目次" xr:uid="{6BBB2FBF-39F2-4431-B8F3-A480FDC02446}"/>
  </hyperlinks>
  <pageMargins left="0.25" right="0.25" top="0.75" bottom="0.75" header="0.3" footer="0.3"/>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95BA0-BBE3-4D06-9620-F563BD27A8F0}">
  <sheetPr codeName="Sheet27">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380</v>
      </c>
      <c r="E2" s="63"/>
      <c r="F2" s="63"/>
      <c r="G2" s="63"/>
      <c r="H2" s="63"/>
      <c r="I2" s="63"/>
      <c r="J2" s="63"/>
      <c r="K2" s="64"/>
    </row>
    <row r="3" spans="1:25" ht="30" customHeight="1" x14ac:dyDescent="0.2">
      <c r="A3" s="65" t="s">
        <v>332</v>
      </c>
      <c r="B3" s="66"/>
      <c r="C3" s="66"/>
      <c r="D3" s="67">
        <f>VLOOKUP($D$2,福祉!$B$2:$AG$25,2,FALSE)</f>
        <v>39885</v>
      </c>
      <c r="E3" s="68"/>
      <c r="F3" s="68"/>
      <c r="G3" s="68"/>
      <c r="H3" s="68"/>
      <c r="I3" s="68"/>
      <c r="J3" s="68"/>
      <c r="K3" s="69"/>
    </row>
    <row r="4" spans="1:25" ht="30" customHeight="1" x14ac:dyDescent="0.2">
      <c r="A4" s="65" t="s">
        <v>333</v>
      </c>
      <c r="B4" s="66"/>
      <c r="C4" s="66"/>
      <c r="D4" s="67">
        <f>VLOOKUP($D$2,福祉!$B$2:$AG$25,3,FALSE)</f>
        <v>45002</v>
      </c>
      <c r="E4" s="68"/>
      <c r="F4" s="68"/>
      <c r="G4" s="68"/>
      <c r="H4" s="68"/>
      <c r="I4" s="68"/>
      <c r="J4" s="68"/>
      <c r="K4" s="69"/>
    </row>
    <row r="5" spans="1:25" ht="30" customHeight="1" x14ac:dyDescent="0.2">
      <c r="A5" s="65" t="s">
        <v>334</v>
      </c>
      <c r="B5" s="66"/>
      <c r="C5" s="66"/>
      <c r="D5" s="67">
        <f>VLOOKUP($D$2,福祉!$B$2:$AG$25,4,FALSE)</f>
        <v>46112</v>
      </c>
      <c r="E5" s="68"/>
      <c r="F5" s="68"/>
      <c r="G5" s="68"/>
      <c r="H5" s="68"/>
      <c r="I5" s="68"/>
      <c r="J5" s="68"/>
      <c r="K5" s="69"/>
    </row>
    <row r="6" spans="1:25" ht="30" customHeight="1" x14ac:dyDescent="0.2">
      <c r="A6" s="65" t="s">
        <v>335</v>
      </c>
      <c r="B6" s="66"/>
      <c r="C6" s="66"/>
      <c r="D6" s="67" t="str">
        <f>VLOOKUP($D$2,福祉!$B$2:$AG$25,5,FALSE)</f>
        <v>社会福祉法人　洞爺湖町社会福祉協議会</v>
      </c>
      <c r="E6" s="68"/>
      <c r="F6" s="68"/>
      <c r="G6" s="68"/>
      <c r="H6" s="68"/>
      <c r="I6" s="68"/>
      <c r="J6" s="68"/>
      <c r="K6" s="69"/>
    </row>
    <row r="7" spans="1:25" ht="30" customHeight="1" x14ac:dyDescent="0.2">
      <c r="A7" s="65" t="s">
        <v>336</v>
      </c>
      <c r="B7" s="66"/>
      <c r="C7" s="66"/>
      <c r="D7" s="67" t="str">
        <f>VLOOKUP($D$2,福祉!$B$2:$AG$25,6,FALSE)</f>
        <v>八木橋　隆</v>
      </c>
      <c r="E7" s="68"/>
      <c r="F7" s="68"/>
      <c r="G7" s="68"/>
      <c r="H7" s="68"/>
      <c r="I7" s="68"/>
      <c r="J7" s="68"/>
      <c r="K7" s="69"/>
    </row>
    <row r="8" spans="1:25" ht="30" customHeight="1" x14ac:dyDescent="0.2">
      <c r="A8" s="65" t="s">
        <v>337</v>
      </c>
      <c r="B8" s="66"/>
      <c r="C8" s="66"/>
      <c r="D8" s="67" t="str">
        <f>VLOOKUP($D$2,福祉!$B$2:$AG$25,8,FALSE)</f>
        <v>虻田郡洞爺湖町栄町６３番地１</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洞爺湖町社会福祉協議会（本所）</v>
      </c>
      <c r="E12" s="85"/>
      <c r="F12" s="85" t="str">
        <f>IFERROR(VLOOKUP($D$2,福祉!$B$2:$AG$897,10,FALSE),0)</f>
        <v>虻田郡洞爺湖町栄町６３番地１</v>
      </c>
      <c r="G12" s="85"/>
      <c r="H12" s="85">
        <f>IFERROR(VLOOKUP($D$2&amp;"-3",福祉!$B$2:$AG$897,9,FALSE),0)</f>
        <v>0</v>
      </c>
      <c r="I12" s="85"/>
      <c r="J12" s="85">
        <f>IFERROR(VLOOKUP($D$2&amp;"-3",福祉!$B$2:$AG$897,10,FALSE),0)</f>
        <v>0</v>
      </c>
      <c r="K12" s="85"/>
    </row>
    <row r="13" spans="1:25" ht="50.1" customHeight="1" x14ac:dyDescent="0.2">
      <c r="A13" s="86"/>
      <c r="B13" s="87"/>
      <c r="C13" s="88"/>
      <c r="D13" s="85" t="str">
        <f>IFERROR(VLOOKUP($D$2&amp;"-2",福祉!$B$2:$AG$897,9,FALSE),0)</f>
        <v>社会福祉法人　洞爺湖町社会福祉協議会（洞爺支所）</v>
      </c>
      <c r="E13" s="85"/>
      <c r="F13" s="85" t="str">
        <f>IFERROR(VLOOKUP($D$2&amp;"-2",福祉!$B$2:$AG$897,10,FALSE),0)</f>
        <v>虻田郡洞爺湖町洞爺町１３２－２</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虻田郡洞爺湖町</v>
      </c>
      <c r="E14" s="80"/>
      <c r="F14" s="80"/>
      <c r="G14" s="80"/>
      <c r="H14" s="80"/>
      <c r="I14" s="80"/>
      <c r="J14" s="80"/>
      <c r="K14" s="81"/>
      <c r="O14" s="55"/>
      <c r="X14" s="55"/>
      <c r="Y14" s="90"/>
    </row>
    <row r="15" spans="1:25" ht="30" customHeight="1" x14ac:dyDescent="0.2">
      <c r="A15" s="77" t="s">
        <v>345</v>
      </c>
      <c r="B15" s="78"/>
      <c r="C15" s="78"/>
      <c r="D15" s="91" t="str">
        <f>VLOOKUP($D$2,福祉!$B$2:$AG$25,16,FALSE)</f>
        <v>イロニホヘ</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洞爺湖町社会福祉協議会（本所）</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1</v>
      </c>
      <c r="I23" s="119">
        <f>IFERROR(VLOOKUP($D$2,福祉!$B$2:$AG$897,27,FALSE),0)</f>
        <v>2</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1</v>
      </c>
      <c r="I24" s="123">
        <f>IFERROR(VLOOKUP($D$2,福祉!$B$2:$AG$2897,28,FALSE),0)</f>
        <v>1</v>
      </c>
      <c r="J24" s="124"/>
      <c r="K24" s="125">
        <f>SUM(E24:I24)</f>
        <v>2</v>
      </c>
    </row>
    <row r="25" spans="1:24" ht="19.8" x14ac:dyDescent="0.2">
      <c r="A25" s="115"/>
      <c r="B25" s="116"/>
      <c r="C25" s="111" t="str">
        <f>D13</f>
        <v>社会福祉法人　洞爺湖町社会福祉協議会（洞爺支所）</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1</v>
      </c>
      <c r="G26" s="119">
        <f>IFERROR(VLOOKUP($D$2&amp;"-2",福祉!$B$2:$AG$897,23,FALSE),0)</f>
        <v>0</v>
      </c>
      <c r="H26" s="119">
        <f>IFERROR(VLOOKUP($D$2&amp;"-2",福祉!$B$2:$AG$897,25,FALSE),0)</f>
        <v>0</v>
      </c>
      <c r="I26" s="119">
        <f>IFERROR(VLOOKUP($D$2&amp;"-2",福祉!$B$2:$AG$897,27,FALSE),0)</f>
        <v>2</v>
      </c>
      <c r="J26" s="119">
        <f>IFERROR(VLOOKUP($D$2&amp;"-2",福祉!$B$2:$AG$897,29,FALSE),0)</f>
        <v>0</v>
      </c>
      <c r="K26" s="120">
        <f>SUM(E26:J26)</f>
        <v>3</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-1</v>
      </c>
      <c r="I27" s="123">
        <f>IFERROR(VLOOKUP($D$2&amp;"-2",福祉!$B$2:$AG$2897,28,FALSE),0)</f>
        <v>-1</v>
      </c>
      <c r="J27" s="124"/>
      <c r="K27" s="125">
        <f>SUM(E27:I27)</f>
        <v>-2</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2</v>
      </c>
      <c r="G35" s="119">
        <f t="shared" si="0"/>
        <v>0</v>
      </c>
      <c r="H35" s="119">
        <f t="shared" si="0"/>
        <v>1</v>
      </c>
      <c r="I35" s="119">
        <f t="shared" si="0"/>
        <v>4</v>
      </c>
      <c r="J35" s="119">
        <f t="shared" si="0"/>
        <v>0</v>
      </c>
      <c r="K35" s="120">
        <f>SUM(E35:J35)</f>
        <v>7</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0</v>
      </c>
      <c r="J36" s="147"/>
      <c r="K36" s="148">
        <f>SUM(E36:I36)</f>
        <v>0</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GCoBVk9QJDnX8lWHuTIIPxj0AGtq5PrCT9zxJqfkiHl8XD+YXTSHA2/QMAJKiCW0HjVYznH4X9CAM0vanlhMsg==" saltValue="ORmBMjgyCDKAu1qEwoZOO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7FA056A-F888-4478-9DD3-B304F4BC4D5B}">
      <formula1>"○"</formula1>
    </dataValidation>
    <dataValidation type="list" allowBlank="1" showInputMessage="1" sqref="A22:B33" xr:uid="{2BF54544-C0BF-492A-9F18-3437B422FC05}">
      <formula1>"交通空白地有償運送,福祉有償運送"</formula1>
    </dataValidation>
    <dataValidation allowBlank="1" showInputMessage="1" sqref="D2:K2" xr:uid="{F9D86DC9-A8F3-4755-BB24-D9CFC7DCF286}"/>
  </dataValidations>
  <hyperlinks>
    <hyperlink ref="O1:Q1" location="福祉!A1" display="目次" xr:uid="{E25DA19B-9774-4EDE-8C57-5FD1ED5080E9}"/>
  </hyperlinks>
  <pageMargins left="0.25" right="0.25" top="0.75" bottom="0.75" header="0.3" footer="0.3"/>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4EF7C-68EB-425B-9988-3D3F52373CF5}">
  <sheetPr codeName="Sheet28">
    <tabColor theme="9" tint="0.39997558519241921"/>
  </sheetPr>
  <dimension ref="A1:Y38"/>
  <sheetViews>
    <sheetView view="pageBreakPreview" zoomScale="115" zoomScaleNormal="100" zoomScaleSheetLayoutView="115"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381</v>
      </c>
      <c r="E2" s="63"/>
      <c r="F2" s="63"/>
      <c r="G2" s="63"/>
      <c r="H2" s="63"/>
      <c r="I2" s="63"/>
      <c r="J2" s="63"/>
      <c r="K2" s="64"/>
    </row>
    <row r="3" spans="1:25" ht="30" customHeight="1" x14ac:dyDescent="0.2">
      <c r="A3" s="65" t="s">
        <v>332</v>
      </c>
      <c r="B3" s="66"/>
      <c r="C3" s="66"/>
      <c r="D3" s="67">
        <f>VLOOKUP($D$2,福祉!$B$2:$AG$25,2,FALSE)</f>
        <v>40108</v>
      </c>
      <c r="E3" s="68"/>
      <c r="F3" s="68"/>
      <c r="G3" s="68"/>
      <c r="H3" s="68"/>
      <c r="I3" s="68"/>
      <c r="J3" s="68"/>
      <c r="K3" s="69"/>
    </row>
    <row r="4" spans="1:25" ht="30" customHeight="1" x14ac:dyDescent="0.2">
      <c r="A4" s="65" t="s">
        <v>333</v>
      </c>
      <c r="B4" s="66"/>
      <c r="C4" s="66"/>
      <c r="D4" s="67">
        <f>VLOOKUP($D$2,福祉!$B$2:$AG$25,3,FALSE)</f>
        <v>45181</v>
      </c>
      <c r="E4" s="68"/>
      <c r="F4" s="68"/>
      <c r="G4" s="68"/>
      <c r="H4" s="68"/>
      <c r="I4" s="68"/>
      <c r="J4" s="68"/>
      <c r="K4" s="69"/>
    </row>
    <row r="5" spans="1:25" ht="30" customHeight="1" x14ac:dyDescent="0.2">
      <c r="A5" s="65" t="s">
        <v>334</v>
      </c>
      <c r="B5" s="66"/>
      <c r="C5" s="66"/>
      <c r="D5" s="67">
        <f>VLOOKUP($D$2,福祉!$B$2:$AG$25,4,FALSE)</f>
        <v>46316</v>
      </c>
      <c r="E5" s="68"/>
      <c r="F5" s="68"/>
      <c r="G5" s="68"/>
      <c r="H5" s="68"/>
      <c r="I5" s="68"/>
      <c r="J5" s="68"/>
      <c r="K5" s="69"/>
    </row>
    <row r="6" spans="1:25" ht="30" customHeight="1" x14ac:dyDescent="0.2">
      <c r="A6" s="65" t="s">
        <v>335</v>
      </c>
      <c r="B6" s="66"/>
      <c r="C6" s="66"/>
      <c r="D6" s="67" t="str">
        <f>VLOOKUP($D$2,福祉!$B$2:$AG$25,5,FALSE)</f>
        <v>特定非営利活動法人　アルソーレ</v>
      </c>
      <c r="E6" s="68"/>
      <c r="F6" s="68"/>
      <c r="G6" s="68"/>
      <c r="H6" s="68"/>
      <c r="I6" s="68"/>
      <c r="J6" s="68"/>
      <c r="K6" s="69"/>
    </row>
    <row r="7" spans="1:25" ht="30" customHeight="1" x14ac:dyDescent="0.2">
      <c r="A7" s="65" t="s">
        <v>336</v>
      </c>
      <c r="B7" s="66"/>
      <c r="C7" s="66"/>
      <c r="D7" s="67" t="str">
        <f>VLOOKUP($D$2,福祉!$B$2:$AG$25,6,FALSE)</f>
        <v>上野　真紀子</v>
      </c>
      <c r="E7" s="68"/>
      <c r="F7" s="68"/>
      <c r="G7" s="68"/>
      <c r="H7" s="68"/>
      <c r="I7" s="68"/>
      <c r="J7" s="68"/>
      <c r="K7" s="69"/>
    </row>
    <row r="8" spans="1:25" ht="30" customHeight="1" x14ac:dyDescent="0.2">
      <c r="A8" s="65" t="s">
        <v>337</v>
      </c>
      <c r="B8" s="66"/>
      <c r="C8" s="66"/>
      <c r="D8" s="67" t="str">
        <f>VLOOKUP($D$2,福祉!$B$2:$AG$25,8,FALSE)</f>
        <v>苫小牧市新中野町３丁目６番５号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ヘルパーステーションきぼう</v>
      </c>
      <c r="E12" s="85"/>
      <c r="F12" s="85" t="str">
        <f>IFERROR(VLOOKUP($D$2,福祉!$B$2:$AG$897,10,FALSE),0)</f>
        <v>苫小牧市新中野町３丁目６番５号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苫小牧市</v>
      </c>
      <c r="E14" s="80"/>
      <c r="F14" s="80"/>
      <c r="G14" s="80"/>
      <c r="H14" s="80"/>
      <c r="I14" s="80"/>
      <c r="J14" s="80"/>
      <c r="K14" s="81"/>
      <c r="O14" s="55"/>
      <c r="X14" s="55"/>
      <c r="Y14" s="90"/>
    </row>
    <row r="15" spans="1:25" ht="30" customHeight="1" x14ac:dyDescent="0.2">
      <c r="A15" s="77" t="s">
        <v>345</v>
      </c>
      <c r="B15" s="78"/>
      <c r="C15" s="78"/>
      <c r="D15" s="91" t="str">
        <f>VLOOKUP($D$2,福祉!$B$2:$AG$25,16,FALSE)</f>
        <v>【新】イロハニ</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ヘルパーステーションきぼう</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3</v>
      </c>
      <c r="G23" s="119">
        <f>IFERROR(VLOOKUP($D$2,福祉!$B$2:$AG$897,23,FALSE),0)</f>
        <v>0</v>
      </c>
      <c r="H23" s="119">
        <f>IFERROR(VLOOKUP($D$2,福祉!$B$2:$AG$897,25,FALSE),0)</f>
        <v>0</v>
      </c>
      <c r="I23" s="119">
        <f>IFERROR(VLOOKUP($D$2,福祉!$B$2:$AG$897,27,FALSE),0)</f>
        <v>9</v>
      </c>
      <c r="J23" s="119">
        <f>IFERROR(VLOOKUP($D$2,福祉!$B$2:$AG$897,29,FALSE),0)</f>
        <v>0</v>
      </c>
      <c r="K23" s="120">
        <f>SUM(E23:J23)</f>
        <v>12</v>
      </c>
    </row>
    <row r="24" spans="1:24" s="126" customFormat="1" ht="19.8" x14ac:dyDescent="0.2">
      <c r="A24" s="115"/>
      <c r="B24" s="116"/>
      <c r="C24" s="121"/>
      <c r="D24" s="122"/>
      <c r="E24" s="123">
        <f>IFERROR(VLOOKUP($D$2,福祉!$B$2:$AG$897,20,FALSE),0)</f>
        <v>0</v>
      </c>
      <c r="F24" s="123">
        <f>IFERROR(VLOOKUP($D$2,福祉!$B$2:$AG$897,22,FALSE),0)</f>
        <v>3</v>
      </c>
      <c r="G24" s="123">
        <f>IFERROR(VLOOKUP($D$2,福祉!$B$2:$AG$897,24,FALSE),0)</f>
        <v>0</v>
      </c>
      <c r="H24" s="123">
        <f>IFERROR(VLOOKUP($D$2,福祉!$B$2:$AG$897,26,FALSE),0)</f>
        <v>0</v>
      </c>
      <c r="I24" s="123">
        <f>IFERROR(VLOOKUP($D$2,福祉!$B$2:$AG$2897,28,FALSE),0)</f>
        <v>8</v>
      </c>
      <c r="J24" s="124"/>
      <c r="K24" s="125">
        <f>SUM(E24:I24)</f>
        <v>11</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3</v>
      </c>
      <c r="G35" s="119">
        <f t="shared" si="0"/>
        <v>0</v>
      </c>
      <c r="H35" s="119">
        <f t="shared" si="0"/>
        <v>0</v>
      </c>
      <c r="I35" s="119">
        <f t="shared" si="0"/>
        <v>9</v>
      </c>
      <c r="J35" s="119">
        <f t="shared" si="0"/>
        <v>0</v>
      </c>
      <c r="K35" s="120">
        <f>SUM(E35:J35)</f>
        <v>12</v>
      </c>
    </row>
    <row r="36" spans="1:11" ht="20.399999999999999" thickBot="1" x14ac:dyDescent="0.25">
      <c r="A36" s="142"/>
      <c r="B36" s="143"/>
      <c r="C36" s="144"/>
      <c r="D36" s="145"/>
      <c r="E36" s="146">
        <f>SUM(E24+E27+E30+E33)</f>
        <v>0</v>
      </c>
      <c r="F36" s="146">
        <f>SUM(F24+F27+F30+F33)</f>
        <v>3</v>
      </c>
      <c r="G36" s="146">
        <f>SUM(G24+G27+G30+G33)</f>
        <v>0</v>
      </c>
      <c r="H36" s="146">
        <f>SUM(H24+H27+H30+H33)</f>
        <v>0</v>
      </c>
      <c r="I36" s="146">
        <f>SUM(I24+I27+I30+I33)</f>
        <v>8</v>
      </c>
      <c r="J36" s="147"/>
      <c r="K36" s="148">
        <f>SUM(E36:I36)</f>
        <v>11</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BEmSvCejTfeNKXXLMHCPrtw5o06Kva7kcw7dOYR7T8bMeOqz2bf0ZxH1bJrCznFqMVsjDR5GwJMp+UGNoZJfzQ==" saltValue="Vzg2jpQcja8zSl7mnEiMZ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86092EF1-62A3-497D-8DF2-BEAD41DD945F}"/>
    <dataValidation type="list" allowBlank="1" showInputMessage="1" sqref="A22:B33" xr:uid="{9ABD0464-159A-41EB-8E14-24AA70DE4EC1}">
      <formula1>"交通空白地有償運送,福祉有償運送"</formula1>
    </dataValidation>
    <dataValidation type="list" allowBlank="1" showInputMessage="1" sqref="D10" xr:uid="{29E5CFC7-5D96-40A7-8321-9A8B80F64624}">
      <formula1>"○"</formula1>
    </dataValidation>
  </dataValidations>
  <hyperlinks>
    <hyperlink ref="O1:Q1" location="福祉!A1" display="目次" xr:uid="{1881A5A3-A994-4B6A-84B4-0BA8A4039E2F}"/>
  </hyperlinks>
  <pageMargins left="0.25" right="0.25" top="0.75" bottom="0.75" header="0.3" footer="0.3"/>
  <pageSetup paperSize="9"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188A7-D984-47AE-AB2A-9191E72D9C61}">
  <sheetPr codeName="Sheet29">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382</v>
      </c>
      <c r="E2" s="63"/>
      <c r="F2" s="63"/>
      <c r="G2" s="63"/>
      <c r="H2" s="63"/>
      <c r="I2" s="63"/>
      <c r="J2" s="63"/>
      <c r="K2" s="64"/>
    </row>
    <row r="3" spans="1:25" ht="30" customHeight="1" x14ac:dyDescent="0.2">
      <c r="A3" s="65" t="s">
        <v>332</v>
      </c>
      <c r="B3" s="66"/>
      <c r="C3" s="66"/>
      <c r="D3" s="67">
        <f>VLOOKUP($D$2,福祉!$B$2:$AG$897,2,FALSE)</f>
        <v>40464</v>
      </c>
      <c r="E3" s="68"/>
      <c r="F3" s="68"/>
      <c r="G3" s="68"/>
      <c r="H3" s="68"/>
      <c r="I3" s="68"/>
      <c r="J3" s="68"/>
      <c r="K3" s="69"/>
    </row>
    <row r="4" spans="1:25" ht="30" customHeight="1" x14ac:dyDescent="0.2">
      <c r="A4" s="65" t="s">
        <v>333</v>
      </c>
      <c r="B4" s="66"/>
      <c r="C4" s="66"/>
      <c r="D4" s="67">
        <f>VLOOKUP($D$2,福祉!$B$2:$AG$897,3,FALSE)</f>
        <v>44480</v>
      </c>
      <c r="E4" s="68"/>
      <c r="F4" s="68"/>
      <c r="G4" s="68"/>
      <c r="H4" s="68"/>
      <c r="I4" s="68"/>
      <c r="J4" s="68"/>
      <c r="K4" s="69"/>
    </row>
    <row r="5" spans="1:25" ht="30" customHeight="1" x14ac:dyDescent="0.2">
      <c r="A5" s="65" t="s">
        <v>334</v>
      </c>
      <c r="B5" s="66"/>
      <c r="C5" s="66"/>
      <c r="D5" s="67">
        <f>VLOOKUP($D$2,福祉!$B$2:$AG$897,4,FALSE)</f>
        <v>45577</v>
      </c>
      <c r="E5" s="68"/>
      <c r="F5" s="68"/>
      <c r="G5" s="68"/>
      <c r="H5" s="68"/>
      <c r="I5" s="68"/>
      <c r="J5" s="68"/>
      <c r="K5" s="69"/>
    </row>
    <row r="6" spans="1:25" ht="30" customHeight="1" x14ac:dyDescent="0.2">
      <c r="A6" s="65" t="s">
        <v>335</v>
      </c>
      <c r="B6" s="66"/>
      <c r="C6" s="66"/>
      <c r="D6" s="67" t="str">
        <f>VLOOKUP($D$2,福祉!$B$2:$AG$897,5,FALSE)</f>
        <v>社会福祉法人　愛誠会</v>
      </c>
      <c r="E6" s="68"/>
      <c r="F6" s="68"/>
      <c r="G6" s="68"/>
      <c r="H6" s="68"/>
      <c r="I6" s="68"/>
      <c r="J6" s="68"/>
      <c r="K6" s="69"/>
    </row>
    <row r="7" spans="1:25" ht="30" customHeight="1" x14ac:dyDescent="0.2">
      <c r="A7" s="65" t="s">
        <v>336</v>
      </c>
      <c r="B7" s="66"/>
      <c r="C7" s="66"/>
      <c r="D7" s="67" t="str">
        <f>VLOOKUP($D$2,福祉!$B$2:$AG$897,6,FALSE)</f>
        <v>横山　宏史</v>
      </c>
      <c r="E7" s="68"/>
      <c r="F7" s="68"/>
      <c r="G7" s="68"/>
      <c r="H7" s="68"/>
      <c r="I7" s="68"/>
      <c r="J7" s="68"/>
      <c r="K7" s="69"/>
    </row>
    <row r="8" spans="1:25" ht="30" customHeight="1" x14ac:dyDescent="0.2">
      <c r="A8" s="65" t="s">
        <v>337</v>
      </c>
      <c r="B8" s="66"/>
      <c r="C8" s="66"/>
      <c r="D8" s="67" t="str">
        <f>VLOOKUP($D$2,福祉!$B$2:$AG$897,8,FALSE)</f>
        <v>勇払郡むかわ町穂別８０番地１０</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愛誠会福祉有償運送事業所</v>
      </c>
      <c r="E12" s="85"/>
      <c r="F12" s="85" t="str">
        <f>IFERROR(VLOOKUP($D$2,福祉!$B$2:$AG$897,10,FALSE),0)</f>
        <v>勇払郡むかわ町穂別８０番地１０</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勇払郡むかわ町</v>
      </c>
      <c r="E14" s="80"/>
      <c r="F14" s="80"/>
      <c r="G14" s="80"/>
      <c r="H14" s="80"/>
      <c r="I14" s="80"/>
      <c r="J14" s="80"/>
      <c r="K14" s="81"/>
      <c r="O14" s="55"/>
      <c r="X14" s="55"/>
      <c r="Y14" s="90"/>
    </row>
    <row r="15" spans="1:25" ht="30" customHeight="1" x14ac:dyDescent="0.2">
      <c r="A15" s="77" t="s">
        <v>345</v>
      </c>
      <c r="B15" s="78"/>
      <c r="C15" s="78"/>
      <c r="D15" s="91" t="str">
        <f>VLOOKUP($D$2,福祉!$B$2:$AG$897,16,FALSE)</f>
        <v>イハニホ</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愛誠会福祉有償運送事業所</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2</v>
      </c>
      <c r="G23" s="119">
        <f>IFERROR(VLOOKUP($D$2,福祉!$B$2:$AG$897,23,FALSE),0)</f>
        <v>3</v>
      </c>
      <c r="H23" s="119">
        <f>IFERROR(VLOOKUP($D$2,福祉!$B$2:$AG$897,25,FALSE),0)</f>
        <v>0</v>
      </c>
      <c r="I23" s="119">
        <f>IFERROR(VLOOKUP($D$2,福祉!$B$2:$AG$897,27,FALSE),0)</f>
        <v>4</v>
      </c>
      <c r="J23" s="119">
        <f>IFERROR(VLOOKUP($D$2,福祉!$B$2:$AG$897,29,FALSE),0)</f>
        <v>0</v>
      </c>
      <c r="K23" s="120">
        <f>SUM(E23:J23)</f>
        <v>9</v>
      </c>
    </row>
    <row r="24" spans="1:24" s="126" customFormat="1" ht="19.8" x14ac:dyDescent="0.2">
      <c r="A24" s="115"/>
      <c r="B24" s="116"/>
      <c r="C24" s="121"/>
      <c r="D24" s="122"/>
      <c r="E24" s="123">
        <f>IFERROR(VLOOKUP($D$2,福祉!$B$2:$AG$897,20,FALSE),0)</f>
        <v>0</v>
      </c>
      <c r="F24" s="123">
        <f>IFERROR(VLOOKUP($D$2,福祉!$B$2:$AG$897,22,FALSE),0)</f>
        <v>2</v>
      </c>
      <c r="G24" s="123">
        <f>IFERROR(VLOOKUP($D$2,福祉!$B$2:$AG$897,24,FALSE),0)</f>
        <v>0</v>
      </c>
      <c r="H24" s="123">
        <f>IFERROR(VLOOKUP($D$2,福祉!$B$2:$AG$897,26,FALSE),0)</f>
        <v>0</v>
      </c>
      <c r="I24" s="123">
        <f>IFERROR(VLOOKUP($D$2,福祉!$B$2:$AG$2897,28,FALSE),0)</f>
        <v>0</v>
      </c>
      <c r="J24" s="124"/>
      <c r="K24" s="125">
        <f>SUM(E24:I24)</f>
        <v>2</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2</v>
      </c>
      <c r="G35" s="119">
        <f t="shared" si="0"/>
        <v>3</v>
      </c>
      <c r="H35" s="119">
        <f t="shared" si="0"/>
        <v>0</v>
      </c>
      <c r="I35" s="119">
        <f t="shared" si="0"/>
        <v>4</v>
      </c>
      <c r="J35" s="119">
        <f t="shared" si="0"/>
        <v>0</v>
      </c>
      <c r="K35" s="120">
        <f>SUM(E35:J35)</f>
        <v>9</v>
      </c>
    </row>
    <row r="36" spans="1:11" ht="20.399999999999999" thickBot="1" x14ac:dyDescent="0.25">
      <c r="A36" s="142"/>
      <c r="B36" s="143"/>
      <c r="C36" s="144"/>
      <c r="D36" s="145"/>
      <c r="E36" s="146">
        <f>SUM(E24+E27+E30+E33)</f>
        <v>0</v>
      </c>
      <c r="F36" s="146">
        <f>SUM(F24+F27+F30+F33)</f>
        <v>2</v>
      </c>
      <c r="G36" s="146">
        <f>SUM(G24+G27+G30+G33)</f>
        <v>0</v>
      </c>
      <c r="H36" s="146">
        <f>SUM(H24+H27+H30+H33)</f>
        <v>0</v>
      </c>
      <c r="I36" s="146">
        <f>SUM(I24+I27+I30+I33)</f>
        <v>0</v>
      </c>
      <c r="J36" s="147"/>
      <c r="K36" s="148">
        <f>SUM(E36:I36)</f>
        <v>2</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pyKdTm7zrSgBzogC7rS2R5a9MOHr/3vP25ZdAm1B8t3hTlbpnpDscQ/DT9WHoUcumWMEgtH0poq3IlkxVl+8Ag==" saltValue="pzM9/tG/USDdQFYa0cGLX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74C8D984-EEB8-46FE-8A61-4FBB721ECAB8}"/>
    <dataValidation type="list" allowBlank="1" showInputMessage="1" sqref="A22:B33" xr:uid="{2A9FAECE-4225-4384-BDED-2707271D625B}">
      <formula1>"交通空白地有償運送,福祉有償運送"</formula1>
    </dataValidation>
    <dataValidation type="list" allowBlank="1" showInputMessage="1" sqref="D10" xr:uid="{266C6135-9443-42D2-8590-209176F9E0ED}">
      <formula1>"○"</formula1>
    </dataValidation>
  </dataValidations>
  <hyperlinks>
    <hyperlink ref="O1:Q1" location="福祉!A1" display="福祉!A1" xr:uid="{6EEDD130-CE7B-4E61-8D54-199B0AB46E1C}"/>
  </hyperlinks>
  <pageMargins left="0.25" right="0.25" top="0.75" bottom="0.75" header="0.3" footer="0.3"/>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5A178-51F6-444C-B660-E929AA017F68}">
  <sheetPr codeName="Sheet30">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383</v>
      </c>
      <c r="E2" s="63"/>
      <c r="F2" s="63"/>
      <c r="G2" s="63"/>
      <c r="H2" s="63"/>
      <c r="I2" s="63"/>
      <c r="J2" s="63"/>
      <c r="K2" s="64"/>
    </row>
    <row r="3" spans="1:25" ht="30" customHeight="1" x14ac:dyDescent="0.2">
      <c r="A3" s="65" t="s">
        <v>332</v>
      </c>
      <c r="B3" s="66"/>
      <c r="C3" s="66"/>
      <c r="D3" s="67">
        <f>VLOOKUP($D$2,福祉!$B$2:$AG$897,2,FALSE)</f>
        <v>40966</v>
      </c>
      <c r="E3" s="68"/>
      <c r="F3" s="68"/>
      <c r="G3" s="68"/>
      <c r="H3" s="68"/>
      <c r="I3" s="68"/>
      <c r="J3" s="68"/>
      <c r="K3" s="69"/>
    </row>
    <row r="4" spans="1:25" ht="30" customHeight="1" x14ac:dyDescent="0.2">
      <c r="A4" s="65" t="s">
        <v>333</v>
      </c>
      <c r="B4" s="66"/>
      <c r="C4" s="66"/>
      <c r="D4" s="67">
        <f>VLOOKUP($D$2,福祉!$B$2:$AG$897,3,FALSE)</f>
        <v>44985</v>
      </c>
      <c r="E4" s="68"/>
      <c r="F4" s="68"/>
      <c r="G4" s="68"/>
      <c r="H4" s="68"/>
      <c r="I4" s="68"/>
      <c r="J4" s="68"/>
      <c r="K4" s="69"/>
    </row>
    <row r="5" spans="1:25" ht="30" customHeight="1" x14ac:dyDescent="0.2">
      <c r="A5" s="65" t="s">
        <v>334</v>
      </c>
      <c r="B5" s="66"/>
      <c r="C5" s="66"/>
      <c r="D5" s="67">
        <f>VLOOKUP($D$2,福祉!$B$2:$AG$897,4,FALSE)</f>
        <v>46081</v>
      </c>
      <c r="E5" s="68"/>
      <c r="F5" s="68"/>
      <c r="G5" s="68"/>
      <c r="H5" s="68"/>
      <c r="I5" s="68"/>
      <c r="J5" s="68"/>
      <c r="K5" s="69"/>
    </row>
    <row r="6" spans="1:25" ht="30" customHeight="1" x14ac:dyDescent="0.2">
      <c r="A6" s="65" t="s">
        <v>335</v>
      </c>
      <c r="B6" s="66"/>
      <c r="C6" s="66"/>
      <c r="D6" s="67" t="str">
        <f>VLOOKUP($D$2,福祉!$B$2:$AG$897,5,FALSE)</f>
        <v>医療法人社団　千寿会</v>
      </c>
      <c r="E6" s="68"/>
      <c r="F6" s="68"/>
      <c r="G6" s="68"/>
      <c r="H6" s="68"/>
      <c r="I6" s="68"/>
      <c r="J6" s="68"/>
      <c r="K6" s="69"/>
    </row>
    <row r="7" spans="1:25" ht="30" customHeight="1" x14ac:dyDescent="0.2">
      <c r="A7" s="65" t="s">
        <v>336</v>
      </c>
      <c r="B7" s="66"/>
      <c r="C7" s="66"/>
      <c r="D7" s="67" t="str">
        <f>VLOOKUP($D$2,福祉!$B$2:$AG$897,6,FALSE)</f>
        <v>千葉　泰二</v>
      </c>
      <c r="E7" s="68"/>
      <c r="F7" s="68"/>
      <c r="G7" s="68"/>
      <c r="H7" s="68"/>
      <c r="I7" s="68"/>
      <c r="J7" s="68"/>
      <c r="K7" s="69"/>
    </row>
    <row r="8" spans="1:25" ht="30" customHeight="1" x14ac:dyDescent="0.2">
      <c r="A8" s="65" t="s">
        <v>337</v>
      </c>
      <c r="B8" s="66"/>
      <c r="C8" s="66"/>
      <c r="D8" s="67" t="str">
        <f>VLOOKUP($D$2,福祉!$B$2:$AG$897,8,FALSE)</f>
        <v>登別市中登別町２４番地</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ヘルパーステーションあおい（愛桜）</v>
      </c>
      <c r="E12" s="85"/>
      <c r="F12" s="85" t="str">
        <f>IFERROR(VLOOKUP($D$2,福祉!$B$2:$AG$897,10,FALSE),0)</f>
        <v>登別市登別東町３丁目１番地２</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室蘭市、登別市</v>
      </c>
      <c r="E14" s="80"/>
      <c r="F14" s="80"/>
      <c r="G14" s="80"/>
      <c r="H14" s="80"/>
      <c r="I14" s="80"/>
      <c r="J14" s="80"/>
      <c r="K14" s="81"/>
      <c r="O14" s="55"/>
      <c r="X14" s="55"/>
      <c r="Y14" s="90"/>
    </row>
    <row r="15" spans="1:25" ht="30" customHeight="1" x14ac:dyDescent="0.2">
      <c r="A15" s="77" t="s">
        <v>345</v>
      </c>
      <c r="B15" s="78"/>
      <c r="C15" s="78"/>
      <c r="D15" s="91" t="str">
        <f>VLOOKUP($D$2,福祉!$B$2:$AG$897,16,FALSE)</f>
        <v>イロニホ</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ヘルパーステーションあおい（愛桜）</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0</v>
      </c>
      <c r="I23" s="119">
        <f>IFERROR(VLOOKUP($D$2,福祉!$B$2:$AG$897,27,FALSE),0)</f>
        <v>1</v>
      </c>
      <c r="J23" s="119">
        <f>IFERROR(VLOOKUP($D$2,福祉!$B$2:$AG$897,29,FALSE),0)</f>
        <v>0</v>
      </c>
      <c r="K23" s="120">
        <f>SUM(E23:J23)</f>
        <v>2</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1</v>
      </c>
      <c r="J24" s="124"/>
      <c r="K24" s="125">
        <f>SUM(E24:I24)</f>
        <v>2</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0</v>
      </c>
      <c r="I35" s="119">
        <f t="shared" si="0"/>
        <v>1</v>
      </c>
      <c r="J35" s="119">
        <f t="shared" si="0"/>
        <v>0</v>
      </c>
      <c r="K35" s="120">
        <f>SUM(E35:J35)</f>
        <v>2</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1</v>
      </c>
      <c r="J36" s="147"/>
      <c r="K36" s="148">
        <f>SUM(E36:I36)</f>
        <v>2</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H6xx9Kr07Hy/08sauXac0SljknoIL1/rfyzJGX7xbKvb/kobagnmAy+Ui5+msh3gjVHgA96XlJfS/6YMwCNG9A==" saltValue="H0welWdZ+Ii+rb9LkH4Gr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7ED593A2-3493-4CF4-B562-B3021241A0A5}">
      <formula1>"○"</formula1>
    </dataValidation>
    <dataValidation type="list" allowBlank="1" showInputMessage="1" sqref="A22:B33" xr:uid="{C03720A7-90D1-4D06-B58A-49B6DA0BEAA3}">
      <formula1>"交通空白地有償運送,福祉有償運送"</formula1>
    </dataValidation>
    <dataValidation allowBlank="1" showInputMessage="1" sqref="D2:K2" xr:uid="{E6F0AF22-CF6C-489A-B67D-33D26DEBDFD9}"/>
  </dataValidations>
  <hyperlinks>
    <hyperlink ref="O1:Q1" location="福祉!A1" display="福祉!A1" xr:uid="{E34CFF03-F18B-40A6-ADFA-2CD1467727F4}"/>
  </hyperlinks>
  <pageMargins left="0.25" right="0.25" top="0.75" bottom="0.75" header="0.3" footer="0.3"/>
  <pageSetup paperSize="9" scale="9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F89A-527E-4A34-999E-C7BD1DC2CB99}">
  <sheetPr codeName="Sheet38">
    <tabColor theme="9" tint="0.39997558519241921"/>
  </sheetPr>
  <dimension ref="A1:Y38"/>
  <sheetViews>
    <sheetView view="pageBreakPreview" topLeftCell="A2"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384</v>
      </c>
      <c r="E2" s="63"/>
      <c r="F2" s="63"/>
      <c r="G2" s="63"/>
      <c r="H2" s="63"/>
      <c r="I2" s="63"/>
      <c r="J2" s="63"/>
      <c r="K2" s="64"/>
    </row>
    <row r="3" spans="1:25" ht="30" customHeight="1" x14ac:dyDescent="0.2">
      <c r="A3" s="65" t="s">
        <v>332</v>
      </c>
      <c r="B3" s="66"/>
      <c r="C3" s="66"/>
      <c r="D3" s="67">
        <f>VLOOKUP($D$2,福祉!$B$2:$AG$897,2,FALSE)</f>
        <v>41362</v>
      </c>
      <c r="E3" s="68"/>
      <c r="F3" s="68"/>
      <c r="G3" s="68"/>
      <c r="H3" s="68"/>
      <c r="I3" s="68"/>
      <c r="J3" s="68"/>
      <c r="K3" s="69"/>
    </row>
    <row r="4" spans="1:25" ht="30" customHeight="1" x14ac:dyDescent="0.2">
      <c r="A4" s="65" t="s">
        <v>333</v>
      </c>
      <c r="B4" s="66"/>
      <c r="C4" s="66"/>
      <c r="D4" s="67">
        <f>VLOOKUP($D$2,福祉!$B$2:$AG$897,3,FALSE)</f>
        <v>44279</v>
      </c>
      <c r="E4" s="68"/>
      <c r="F4" s="68"/>
      <c r="G4" s="68"/>
      <c r="H4" s="68"/>
      <c r="I4" s="68"/>
      <c r="J4" s="68"/>
      <c r="K4" s="69"/>
    </row>
    <row r="5" spans="1:25" ht="30" customHeight="1" x14ac:dyDescent="0.2">
      <c r="A5" s="65" t="s">
        <v>334</v>
      </c>
      <c r="B5" s="66"/>
      <c r="C5" s="66"/>
      <c r="D5" s="67">
        <f>VLOOKUP($D$2,福祉!$B$2:$AG$897,4,FALSE)</f>
        <v>45382</v>
      </c>
      <c r="E5" s="68"/>
      <c r="F5" s="68"/>
      <c r="G5" s="68"/>
      <c r="H5" s="68"/>
      <c r="I5" s="68"/>
      <c r="J5" s="68"/>
      <c r="K5" s="69"/>
    </row>
    <row r="6" spans="1:25" ht="30" customHeight="1" x14ac:dyDescent="0.2">
      <c r="A6" s="65" t="s">
        <v>335</v>
      </c>
      <c r="B6" s="66"/>
      <c r="C6" s="66"/>
      <c r="D6" s="67" t="str">
        <f>VLOOKUP($D$2,福祉!$B$2:$AG$897,5,FALSE)</f>
        <v>特定非営利活動法人　御用聞きわらび</v>
      </c>
      <c r="E6" s="68"/>
      <c r="F6" s="68"/>
      <c r="G6" s="68"/>
      <c r="H6" s="68"/>
      <c r="I6" s="68"/>
      <c r="J6" s="68"/>
      <c r="K6" s="69"/>
    </row>
    <row r="7" spans="1:25" ht="30" customHeight="1" x14ac:dyDescent="0.2">
      <c r="A7" s="65" t="s">
        <v>336</v>
      </c>
      <c r="B7" s="66"/>
      <c r="C7" s="66"/>
      <c r="D7" s="67" t="str">
        <f>VLOOKUP($D$2,福祉!$B$2:$AG$897,6,FALSE)</f>
        <v>星　貢</v>
      </c>
      <c r="E7" s="68"/>
      <c r="F7" s="68"/>
      <c r="G7" s="68"/>
      <c r="H7" s="68"/>
      <c r="I7" s="68"/>
      <c r="J7" s="68"/>
      <c r="K7" s="69"/>
    </row>
    <row r="8" spans="1:25" ht="30" customHeight="1" x14ac:dyDescent="0.2">
      <c r="A8" s="65" t="s">
        <v>337</v>
      </c>
      <c r="B8" s="66"/>
      <c r="C8" s="66"/>
      <c r="D8" s="67" t="str">
        <f>VLOOKUP($D$2,福祉!$B$2:$AG$897,8,FALSE)</f>
        <v>白老郡白老町東町３丁目１０番８号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156" t="str">
        <f>IFERROR(VLOOKUP($D$2,福祉!$B$2:$AG$897,9,FALSE),0)</f>
        <v>特定非営利活動法人　御用聞きわらび</v>
      </c>
      <c r="E12" s="156"/>
      <c r="F12" s="156" t="str">
        <f>IFERROR(VLOOKUP($D$2,福祉!$B$2:$AG$897,10,FALSE),0)</f>
        <v>白老郡白老町東町３丁目１０番８号</v>
      </c>
      <c r="G12" s="156"/>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白老郡白老町</v>
      </c>
      <c r="E14" s="80"/>
      <c r="F14" s="80"/>
      <c r="G14" s="80"/>
      <c r="H14" s="80"/>
      <c r="I14" s="80"/>
      <c r="J14" s="80"/>
      <c r="K14" s="81"/>
      <c r="O14" s="55"/>
      <c r="X14" s="55"/>
      <c r="Y14" s="90"/>
    </row>
    <row r="15" spans="1:25" ht="30" customHeight="1" x14ac:dyDescent="0.2">
      <c r="A15" s="77" t="s">
        <v>345</v>
      </c>
      <c r="B15" s="78"/>
      <c r="C15" s="78"/>
      <c r="D15" s="157" t="str">
        <f>VLOOKUP($D$2,福祉!$B$2:$AG$897,16,FALSE)</f>
        <v>イロハニ</v>
      </c>
      <c r="E15" s="157"/>
      <c r="F15" s="157"/>
      <c r="G15" s="157"/>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特定非営利活動法人　御用聞きわらび</v>
      </c>
      <c r="D22" s="112"/>
      <c r="E22" s="113"/>
      <c r="F22" s="113"/>
      <c r="G22" s="113"/>
      <c r="H22" s="113"/>
      <c r="I22" s="113"/>
      <c r="J22" s="113"/>
      <c r="K22" s="114"/>
      <c r="N22" s="49" t="s">
        <v>385</v>
      </c>
    </row>
    <row r="23" spans="1:24" ht="19.8" x14ac:dyDescent="0.2">
      <c r="A23" s="115"/>
      <c r="B23" s="116"/>
      <c r="C23" s="117"/>
      <c r="D23" s="118"/>
      <c r="E23" s="119">
        <f>IFERROR(VLOOKUP($D$2,福祉!$B$2:$AG$897,19,FALSE),0)</f>
        <v>0</v>
      </c>
      <c r="F23" s="119">
        <f>IFERROR(VLOOKUP($D$2,福祉!$B$2:$AG$897,21,FALSE),0)</f>
        <v>0</v>
      </c>
      <c r="G23" s="119">
        <f>IFERROR(VLOOKUP($D$2,福祉!$B$2:$AG$897,23,FALSE),0)</f>
        <v>0</v>
      </c>
      <c r="H23" s="119">
        <f>IFERROR(VLOOKUP($D$2,福祉!$B$2:$AG$897,25,FALSE),0)</f>
        <v>1</v>
      </c>
      <c r="I23" s="119">
        <f>IFERROR(VLOOKUP($D$2,福祉!$B$2:$AG$897,27,FALSE),0)</f>
        <v>2</v>
      </c>
      <c r="J23" s="119">
        <f>IFERROR(VLOOKUP($D$2,福祉!$B$2:$AG$897,29,FALSE),0)</f>
        <v>0</v>
      </c>
      <c r="K23" s="120">
        <f>SUM(E23:J23)</f>
        <v>3</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1</v>
      </c>
      <c r="I24" s="123">
        <f>IFERROR(VLOOKUP($D$2,福祉!$B$2:$AG$2897,28,FALSE),0)</f>
        <v>2</v>
      </c>
      <c r="J24" s="124"/>
      <c r="K24" s="125">
        <f>SUM(E24:I24)</f>
        <v>3</v>
      </c>
      <c r="N24" s="126" t="s">
        <v>386</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0</v>
      </c>
      <c r="G35" s="119">
        <f t="shared" si="0"/>
        <v>0</v>
      </c>
      <c r="H35" s="119">
        <f t="shared" si="0"/>
        <v>1</v>
      </c>
      <c r="I35" s="119">
        <f t="shared" si="0"/>
        <v>2</v>
      </c>
      <c r="J35" s="119">
        <f t="shared" si="0"/>
        <v>0</v>
      </c>
      <c r="K35" s="120">
        <f>SUM(E35:J35)</f>
        <v>3</v>
      </c>
    </row>
    <row r="36" spans="1:11" ht="20.399999999999999" thickBot="1" x14ac:dyDescent="0.25">
      <c r="A36" s="142"/>
      <c r="B36" s="143"/>
      <c r="C36" s="144"/>
      <c r="D36" s="145"/>
      <c r="E36" s="146">
        <f>SUM(E24+E27+E30+E33)</f>
        <v>0</v>
      </c>
      <c r="F36" s="146">
        <f>SUM(F24+F27+F30+F33)</f>
        <v>0</v>
      </c>
      <c r="G36" s="146">
        <f>SUM(G24+G27+G30+G33)</f>
        <v>0</v>
      </c>
      <c r="H36" s="146">
        <f>SUM(H24+H27+H30+H33)</f>
        <v>1</v>
      </c>
      <c r="I36" s="146">
        <f>SUM(I24+I27+I30+I33)</f>
        <v>2</v>
      </c>
      <c r="J36" s="147"/>
      <c r="K36" s="148">
        <f>SUM(E36:I36)</f>
        <v>3</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nVfOCjybDt389zMwjmzAztDbKqYcEoxnNj1CeVUnNPZ8KFhq0hcBN7eFVLz5X/55IWwW1mlRTL5gGQ4RsUYOJw==" saltValue="VI+TxeiQtyOTVHzm7AH06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79071F20-99D9-43B9-B74F-66C5D2F511E2}"/>
    <dataValidation type="list" allowBlank="1" showInputMessage="1" sqref="A22:B33" xr:uid="{4E1650C6-9421-4DDD-811A-B45B076C33FC}">
      <formula1>"交通空白地有償運送,福祉有償運送"</formula1>
    </dataValidation>
    <dataValidation type="list" allowBlank="1" showInputMessage="1" sqref="D10" xr:uid="{340729E0-1598-4537-B575-741A4C6E4357}">
      <formula1>"○"</formula1>
    </dataValidation>
  </dataValidations>
  <hyperlinks>
    <hyperlink ref="O1:Q1" location="福祉!A1" display="福祉!A1" xr:uid="{5216F59A-FBC3-4CD4-BE43-7ABB0B5E5415}"/>
  </hyperlinks>
  <pageMargins left="0.25" right="0.25" top="0.75" bottom="0.75" header="0.3" footer="0.3"/>
  <pageSetup paperSize="9" scale="9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2DE40-F36F-4C70-B751-41D4B099BBF4}">
  <sheetPr codeName="Sheet31">
    <tabColor theme="9" tint="0.39997558519241921"/>
  </sheetPr>
  <dimension ref="A1:Y38"/>
  <sheetViews>
    <sheetView view="pageBreakPreview" zoomScale="115" zoomScaleNormal="100" zoomScaleSheetLayoutView="115"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387</v>
      </c>
      <c r="E2" s="63"/>
      <c r="F2" s="63"/>
      <c r="G2" s="63"/>
      <c r="H2" s="63"/>
      <c r="I2" s="63"/>
      <c r="J2" s="63"/>
      <c r="K2" s="64"/>
    </row>
    <row r="3" spans="1:25" ht="30" customHeight="1" x14ac:dyDescent="0.2">
      <c r="A3" s="65" t="s">
        <v>332</v>
      </c>
      <c r="B3" s="66"/>
      <c r="C3" s="66"/>
      <c r="D3" s="67">
        <f>VLOOKUP($D$2,福祉!$B$2:$AG$897,2,FALSE)</f>
        <v>41593</v>
      </c>
      <c r="E3" s="68"/>
      <c r="F3" s="68"/>
      <c r="G3" s="68"/>
      <c r="H3" s="68"/>
      <c r="I3" s="68"/>
      <c r="J3" s="68"/>
      <c r="K3" s="69"/>
    </row>
    <row r="4" spans="1:25" ht="30" customHeight="1" x14ac:dyDescent="0.2">
      <c r="A4" s="65" t="s">
        <v>333</v>
      </c>
      <c r="B4" s="66"/>
      <c r="C4" s="66"/>
      <c r="D4" s="67">
        <f>VLOOKUP($D$2,福祉!$B$2:$AG$897,3,FALSE)</f>
        <v>44490</v>
      </c>
      <c r="E4" s="68"/>
      <c r="F4" s="68"/>
      <c r="G4" s="68"/>
      <c r="H4" s="68"/>
      <c r="I4" s="68"/>
      <c r="J4" s="68"/>
      <c r="K4" s="69"/>
    </row>
    <row r="5" spans="1:25" ht="30" customHeight="1" x14ac:dyDescent="0.2">
      <c r="A5" s="65" t="s">
        <v>334</v>
      </c>
      <c r="B5" s="66"/>
      <c r="C5" s="66"/>
      <c r="D5" s="67">
        <f>VLOOKUP($D$2,福祉!$B$2:$AG$897,4,FALSE)</f>
        <v>45610</v>
      </c>
      <c r="E5" s="68"/>
      <c r="F5" s="68"/>
      <c r="G5" s="68"/>
      <c r="H5" s="68"/>
      <c r="I5" s="68"/>
      <c r="J5" s="68"/>
      <c r="K5" s="69"/>
    </row>
    <row r="6" spans="1:25" ht="30" customHeight="1" x14ac:dyDescent="0.2">
      <c r="A6" s="65" t="s">
        <v>335</v>
      </c>
      <c r="B6" s="66"/>
      <c r="C6" s="66"/>
      <c r="D6" s="67" t="str">
        <f>VLOOKUP($D$2,福祉!$B$2:$AG$897,5,FALSE)</f>
        <v>社会福祉法人　陽樹会</v>
      </c>
      <c r="E6" s="68"/>
      <c r="F6" s="68"/>
      <c r="G6" s="68"/>
      <c r="H6" s="68"/>
      <c r="I6" s="68"/>
      <c r="J6" s="68"/>
      <c r="K6" s="69"/>
    </row>
    <row r="7" spans="1:25" ht="30" customHeight="1" x14ac:dyDescent="0.2">
      <c r="A7" s="65" t="s">
        <v>336</v>
      </c>
      <c r="B7" s="66"/>
      <c r="C7" s="66"/>
      <c r="D7" s="67" t="str">
        <f>VLOOKUP($D$2,福祉!$B$2:$AG$897,6,FALSE)</f>
        <v>上村　恭一</v>
      </c>
      <c r="E7" s="68"/>
      <c r="F7" s="68"/>
      <c r="G7" s="68"/>
      <c r="H7" s="68"/>
      <c r="I7" s="68"/>
      <c r="J7" s="68"/>
      <c r="K7" s="69"/>
    </row>
    <row r="8" spans="1:25" ht="30" customHeight="1" x14ac:dyDescent="0.2">
      <c r="A8" s="65" t="s">
        <v>337</v>
      </c>
      <c r="B8" s="66"/>
      <c r="C8" s="66"/>
      <c r="D8" s="67" t="str">
        <f>VLOOKUP($D$2,福祉!$B$2:$AG$897,8,FALSE)</f>
        <v>苫小牧市元中野町２丁目３番地</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指定訪問介護事業所　陽だまりの樹</v>
      </c>
      <c r="E12" s="85"/>
      <c r="F12" s="85" t="str">
        <f>IFERROR(VLOOKUP($D$2,福祉!$B$2:$AG$897,10,FALSE),0)</f>
        <v>苫小牧市元中野町２丁目３番３号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苫小牧市</v>
      </c>
      <c r="E14" s="80"/>
      <c r="F14" s="80"/>
      <c r="G14" s="80"/>
      <c r="H14" s="80"/>
      <c r="I14" s="80"/>
      <c r="J14" s="80"/>
      <c r="K14" s="81"/>
      <c r="O14" s="55"/>
      <c r="X14" s="55"/>
      <c r="Y14" s="90"/>
    </row>
    <row r="15" spans="1:25" ht="30" customHeight="1" x14ac:dyDescent="0.2">
      <c r="A15" s="77" t="s">
        <v>345</v>
      </c>
      <c r="B15" s="78"/>
      <c r="C15" s="78"/>
      <c r="D15" s="91" t="str">
        <f>VLOOKUP($D$2,福祉!$B$2:$AG$897,16,FALSE)</f>
        <v>ロハ</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指定訪問介護事業所　陽だまりの樹</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2</v>
      </c>
      <c r="G23" s="119">
        <f>IFERROR(VLOOKUP($D$2,福祉!$B$2:$AG$897,23,FALSE),0)</f>
        <v>0</v>
      </c>
      <c r="H23" s="119">
        <f>IFERROR(VLOOKUP($D$2,福祉!$B$2:$AG$897,25,FALSE),0)</f>
        <v>0</v>
      </c>
      <c r="I23" s="119">
        <f>IFERROR(VLOOKUP($D$2,福祉!$B$2:$AG$897,27,FALSE),0)</f>
        <v>0</v>
      </c>
      <c r="J23" s="119">
        <f>IFERROR(VLOOKUP($D$2,福祉!$B$2:$AG$897,29,FALSE),0)</f>
        <v>0</v>
      </c>
      <c r="K23" s="120">
        <f>SUM(E23:J23)</f>
        <v>2</v>
      </c>
    </row>
    <row r="24" spans="1:24" s="126" customFormat="1" ht="19.8" x14ac:dyDescent="0.2">
      <c r="A24" s="115"/>
      <c r="B24" s="116"/>
      <c r="C24" s="121"/>
      <c r="D24" s="122"/>
      <c r="E24" s="123">
        <f>IFERROR(VLOOKUP($D$2,福祉!$B$2:$AG$897,20,FALSE),0)</f>
        <v>0</v>
      </c>
      <c r="F24" s="123">
        <f>IFERROR(VLOOKUP($D$2,福祉!$B$2:$AG$897,22,FALSE),0)</f>
        <v>2</v>
      </c>
      <c r="G24" s="123">
        <f>IFERROR(VLOOKUP($D$2,福祉!$B$2:$AG$897,24,FALSE),0)</f>
        <v>0</v>
      </c>
      <c r="H24" s="123">
        <f>IFERROR(VLOOKUP($D$2,福祉!$B$2:$AG$897,26,FALSE),0)</f>
        <v>0</v>
      </c>
      <c r="I24" s="123">
        <f>IFERROR(VLOOKUP($D$2,福祉!$B$2:$AG$2897,28,FALSE),0)</f>
        <v>0</v>
      </c>
      <c r="J24" s="124"/>
      <c r="K24" s="125">
        <f>SUM(E24:I24)</f>
        <v>2</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2</v>
      </c>
      <c r="G35" s="119">
        <f t="shared" si="0"/>
        <v>0</v>
      </c>
      <c r="H35" s="119">
        <f t="shared" si="0"/>
        <v>0</v>
      </c>
      <c r="I35" s="119">
        <f t="shared" si="0"/>
        <v>0</v>
      </c>
      <c r="J35" s="119">
        <f t="shared" si="0"/>
        <v>0</v>
      </c>
      <c r="K35" s="120">
        <f>SUM(E35:J35)</f>
        <v>2</v>
      </c>
    </row>
    <row r="36" spans="1:11" ht="20.399999999999999" thickBot="1" x14ac:dyDescent="0.25">
      <c r="A36" s="142"/>
      <c r="B36" s="143"/>
      <c r="C36" s="144"/>
      <c r="D36" s="145"/>
      <c r="E36" s="146">
        <f>SUM(E24+E27+E30+E33)</f>
        <v>0</v>
      </c>
      <c r="F36" s="146">
        <f>SUM(F24+F27+F30+F33)</f>
        <v>2</v>
      </c>
      <c r="G36" s="146">
        <f>SUM(G24+G27+G30+G33)</f>
        <v>0</v>
      </c>
      <c r="H36" s="146">
        <f>SUM(H24+H27+H30+H33)</f>
        <v>0</v>
      </c>
      <c r="I36" s="146">
        <f>SUM(I24+I27+I30+I33)</f>
        <v>0</v>
      </c>
      <c r="J36" s="147"/>
      <c r="K36" s="148">
        <f>SUM(E36:I36)</f>
        <v>2</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Blk9HwLzJSIYdAauxPBqV3D3mR8NGN6esv2GC9pesyGWdk6UkTDuCX+hH10fa2HZQsKG8s2NVjkjLuJgZfc72A==" saltValue="mRGOb/32+13BdviP6KiXA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6E00A31B-27BE-45CB-AB4E-379B7A68D4CF}"/>
    <dataValidation type="list" allowBlank="1" showInputMessage="1" sqref="A22:B33" xr:uid="{D27B5865-EAAD-4BC7-B504-AD7496D5A288}">
      <formula1>"交通空白地有償運送,福祉有償運送"</formula1>
    </dataValidation>
    <dataValidation type="list" allowBlank="1" showInputMessage="1" sqref="D10" xr:uid="{217FD258-D66B-4B1D-B23A-41869E71E8AE}">
      <formula1>"○"</formula1>
    </dataValidation>
  </dataValidations>
  <hyperlinks>
    <hyperlink ref="O1:Q1" location="福祉!A1" display="福祉!A1" xr:uid="{83EC5F25-70B2-408C-BDF2-78B96454B0D8}"/>
  </hyperlinks>
  <pageMargins left="0.25" right="0.25" top="0.75" bottom="0.75" header="0.3" footer="0.3"/>
  <pageSetup paperSize="9" scale="9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E783E-8015-4086-8F39-811985A68F1B}">
  <sheetPr codeName="Sheet32">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388</v>
      </c>
      <c r="E2" s="63"/>
      <c r="F2" s="63"/>
      <c r="G2" s="63"/>
      <c r="H2" s="63"/>
      <c r="I2" s="63"/>
      <c r="J2" s="63"/>
      <c r="K2" s="64"/>
    </row>
    <row r="3" spans="1:25" ht="30" customHeight="1" x14ac:dyDescent="0.2">
      <c r="A3" s="65" t="s">
        <v>332</v>
      </c>
      <c r="B3" s="66"/>
      <c r="C3" s="66"/>
      <c r="D3" s="67">
        <f>VLOOKUP($D$2,福祉!$B$2:$AG$897,2,FALSE)</f>
        <v>42445</v>
      </c>
      <c r="E3" s="68"/>
      <c r="F3" s="68"/>
      <c r="G3" s="68"/>
      <c r="H3" s="68"/>
      <c r="I3" s="68"/>
      <c r="J3" s="68"/>
      <c r="K3" s="69"/>
    </row>
    <row r="4" spans="1:25" ht="30" customHeight="1" x14ac:dyDescent="0.2">
      <c r="A4" s="65" t="s">
        <v>333</v>
      </c>
      <c r="B4" s="66"/>
      <c r="C4" s="66"/>
      <c r="D4" s="67">
        <f>VLOOKUP($D$2,福祉!$B$2:$AG$897,3,FALSE)</f>
        <v>45309</v>
      </c>
      <c r="E4" s="68"/>
      <c r="F4" s="68"/>
      <c r="G4" s="68"/>
      <c r="H4" s="68"/>
      <c r="I4" s="68"/>
      <c r="J4" s="68"/>
      <c r="K4" s="69"/>
    </row>
    <row r="5" spans="1:25" ht="30" customHeight="1" x14ac:dyDescent="0.2">
      <c r="A5" s="65" t="s">
        <v>334</v>
      </c>
      <c r="B5" s="66"/>
      <c r="C5" s="66"/>
      <c r="D5" s="67">
        <f>VLOOKUP($D$2,福祉!$B$2:$AG$897,4,FALSE)</f>
        <v>46461</v>
      </c>
      <c r="E5" s="68"/>
      <c r="F5" s="68"/>
      <c r="G5" s="68"/>
      <c r="H5" s="68"/>
      <c r="I5" s="68"/>
      <c r="J5" s="68"/>
      <c r="K5" s="69"/>
    </row>
    <row r="6" spans="1:25" ht="30" customHeight="1" x14ac:dyDescent="0.2">
      <c r="A6" s="65" t="s">
        <v>335</v>
      </c>
      <c r="B6" s="66"/>
      <c r="C6" s="66"/>
      <c r="D6" s="67" t="str">
        <f>VLOOKUP($D$2,福祉!$B$2:$AG$897,5,FALSE)</f>
        <v>特定非営利活動法人　みんなの家ひだまり</v>
      </c>
      <c r="E6" s="68"/>
      <c r="F6" s="68"/>
      <c r="G6" s="68"/>
      <c r="H6" s="68"/>
      <c r="I6" s="68"/>
      <c r="J6" s="68"/>
      <c r="K6" s="69"/>
    </row>
    <row r="7" spans="1:25" ht="30" customHeight="1" x14ac:dyDescent="0.2">
      <c r="A7" s="65" t="s">
        <v>336</v>
      </c>
      <c r="B7" s="66"/>
      <c r="C7" s="66"/>
      <c r="D7" s="67" t="str">
        <f>VLOOKUP($D$2,福祉!$B$2:$AG$897,6,FALSE)</f>
        <v>杉田　友子</v>
      </c>
      <c r="E7" s="68"/>
      <c r="F7" s="68"/>
      <c r="G7" s="68"/>
      <c r="H7" s="68"/>
      <c r="I7" s="68"/>
      <c r="J7" s="68"/>
      <c r="K7" s="69"/>
    </row>
    <row r="8" spans="1:25" ht="30" customHeight="1" x14ac:dyDescent="0.2">
      <c r="A8" s="65" t="s">
        <v>337</v>
      </c>
      <c r="B8" s="66"/>
      <c r="C8" s="66"/>
      <c r="D8" s="67" t="str">
        <f>VLOOKUP($D$2,福祉!$B$2:$AG$897,8,FALSE)</f>
        <v>新冠郡新冠町字北星町８－５０</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特定非営利活動法人　みんなの家ひだまり</v>
      </c>
      <c r="E12" s="85"/>
      <c r="F12" s="85" t="str">
        <f>IFERROR(VLOOKUP($D$2,福祉!$B$2:$AG$897,10,FALSE),0)</f>
        <v>新冠郡新冠町字北星町８－５０</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日高郡新ひだか町、新冠郡新冠町</v>
      </c>
      <c r="E14" s="80"/>
      <c r="F14" s="80"/>
      <c r="G14" s="80"/>
      <c r="H14" s="80"/>
      <c r="I14" s="80"/>
      <c r="J14" s="80"/>
      <c r="K14" s="81"/>
      <c r="O14" s="55"/>
      <c r="X14" s="55"/>
      <c r="Y14" s="90"/>
    </row>
    <row r="15" spans="1:25" ht="30" customHeight="1" x14ac:dyDescent="0.2">
      <c r="A15" s="77" t="s">
        <v>345</v>
      </c>
      <c r="B15" s="78"/>
      <c r="C15" s="78"/>
      <c r="D15" s="91" t="str">
        <f>VLOOKUP($D$2,福祉!$B$2:$AG$897,16,FALSE)</f>
        <v>イロハニホヘト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特定非営利活動法人　みんなの家ひだまり</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0</v>
      </c>
      <c r="I23" s="119">
        <f>IFERROR(VLOOKUP($D$2,福祉!$B$2:$AG$897,27,FALSE),0)</f>
        <v>1</v>
      </c>
      <c r="J23" s="119">
        <f>IFERROR(VLOOKUP($D$2,福祉!$B$2:$AG$897,29,FALSE),0)</f>
        <v>0</v>
      </c>
      <c r="K23" s="120">
        <f>SUM(E23:J23)</f>
        <v>2</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0</v>
      </c>
      <c r="J24" s="124"/>
      <c r="K24" s="125">
        <f>SUM(E24:I24)</f>
        <v>0</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0</v>
      </c>
      <c r="I35" s="119">
        <f t="shared" si="0"/>
        <v>1</v>
      </c>
      <c r="J35" s="119">
        <f t="shared" si="0"/>
        <v>0</v>
      </c>
      <c r="K35" s="120">
        <f>SUM(E35:J35)</f>
        <v>2</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0</v>
      </c>
      <c r="J36" s="147"/>
      <c r="K36" s="148">
        <f>SUM(E36:I36)</f>
        <v>0</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7pFfk8wQAL3euohmXPcC2HPPotdu669NG9o6oghf7aqepQkdOI666B8VAlpWACydL5LHQ61VwbpDBxFQa/LbdA==" saltValue="aCq+vnOgf5k3rYLE4CyT+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2FBE881E-2336-4D21-8F2A-51E539FA12F5}">
      <formula1>"○"</formula1>
    </dataValidation>
    <dataValidation type="list" allowBlank="1" showInputMessage="1" sqref="A22:B33" xr:uid="{D3F77026-0033-4474-8408-2457E50D5AC8}">
      <formula1>"交通空白地有償運送,福祉有償運送"</formula1>
    </dataValidation>
    <dataValidation allowBlank="1" showInputMessage="1" sqref="D2:K2" xr:uid="{4842EF51-1478-4A7A-8D74-3046B6AFE37C}"/>
  </dataValidations>
  <hyperlinks>
    <hyperlink ref="O1:Q1" location="福祉!A1" display="福祉!A1" xr:uid="{9880200B-4561-485F-89B4-573554E0E191}"/>
  </hyperlinks>
  <pageMargins left="0.25" right="0.25" top="0.75" bottom="0.75" header="0.3" footer="0.3"/>
  <pageSetup paperSize="9" scale="9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709CD-5EDB-4575-8936-1729EC2E051A}">
  <sheetPr codeName="Sheet33">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389</v>
      </c>
      <c r="E2" s="63"/>
      <c r="F2" s="63"/>
      <c r="G2" s="63"/>
      <c r="H2" s="63"/>
      <c r="I2" s="63"/>
      <c r="J2" s="63"/>
      <c r="K2" s="64"/>
    </row>
    <row r="3" spans="1:25" ht="30" customHeight="1" x14ac:dyDescent="0.2">
      <c r="A3" s="65" t="s">
        <v>332</v>
      </c>
      <c r="B3" s="66"/>
      <c r="C3" s="66"/>
      <c r="D3" s="67">
        <f>VLOOKUP($D$2,福祉!$B$2:$AG$897,2,FALSE)</f>
        <v>42468</v>
      </c>
      <c r="E3" s="68"/>
      <c r="F3" s="68"/>
      <c r="G3" s="68"/>
      <c r="H3" s="68"/>
      <c r="I3" s="68"/>
      <c r="J3" s="68"/>
      <c r="K3" s="69"/>
    </row>
    <row r="4" spans="1:25" ht="30" customHeight="1" x14ac:dyDescent="0.2">
      <c r="A4" s="65" t="s">
        <v>333</v>
      </c>
      <c r="B4" s="66"/>
      <c r="C4" s="66"/>
      <c r="D4" s="67">
        <f>VLOOKUP($D$2,福祉!$B$2:$AG$897,3,FALSE)</f>
        <v>44279</v>
      </c>
      <c r="E4" s="68"/>
      <c r="F4" s="68"/>
      <c r="G4" s="68"/>
      <c r="H4" s="68"/>
      <c r="I4" s="68"/>
      <c r="J4" s="68"/>
      <c r="K4" s="69"/>
    </row>
    <row r="5" spans="1:25" ht="30" customHeight="1" x14ac:dyDescent="0.2">
      <c r="A5" s="65" t="s">
        <v>334</v>
      </c>
      <c r="B5" s="66"/>
      <c r="C5" s="66"/>
      <c r="D5" s="67">
        <f>VLOOKUP($D$2,福祉!$B$2:$AG$897,4,FALSE)</f>
        <v>45389</v>
      </c>
      <c r="E5" s="68"/>
      <c r="F5" s="68"/>
      <c r="G5" s="68"/>
      <c r="H5" s="68"/>
      <c r="I5" s="68"/>
      <c r="J5" s="68"/>
      <c r="K5" s="69"/>
    </row>
    <row r="6" spans="1:25" ht="30" customHeight="1" x14ac:dyDescent="0.2">
      <c r="A6" s="65" t="s">
        <v>335</v>
      </c>
      <c r="B6" s="66"/>
      <c r="C6" s="66"/>
      <c r="D6" s="67" t="str">
        <f>VLOOKUP($D$2,福祉!$B$2:$AG$897,5,FALSE)</f>
        <v>特定非営利活動法人　ぬくもりの里ふれあい</v>
      </c>
      <c r="E6" s="68"/>
      <c r="F6" s="68"/>
      <c r="G6" s="68"/>
      <c r="H6" s="68"/>
      <c r="I6" s="68"/>
      <c r="J6" s="68"/>
      <c r="K6" s="69"/>
    </row>
    <row r="7" spans="1:25" ht="30" customHeight="1" x14ac:dyDescent="0.2">
      <c r="A7" s="65" t="s">
        <v>336</v>
      </c>
      <c r="B7" s="66"/>
      <c r="C7" s="66"/>
      <c r="D7" s="67" t="str">
        <f>VLOOKUP($D$2,福祉!$B$2:$AG$897,6,FALSE)</f>
        <v>坂下　都紀子</v>
      </c>
      <c r="E7" s="68"/>
      <c r="F7" s="68"/>
      <c r="G7" s="68"/>
      <c r="H7" s="68"/>
      <c r="I7" s="68"/>
      <c r="J7" s="68"/>
      <c r="K7" s="69"/>
    </row>
    <row r="8" spans="1:25" ht="30" customHeight="1" x14ac:dyDescent="0.2">
      <c r="A8" s="65" t="s">
        <v>337</v>
      </c>
      <c r="B8" s="66"/>
      <c r="C8" s="66"/>
      <c r="D8" s="67" t="str">
        <f>VLOOKUP($D$2,福祉!$B$2:$AG$897,8,FALSE)</f>
        <v>白老郡白老町字北吉原１３３－２</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ぬくもりの里ふれあい</v>
      </c>
      <c r="E12" s="85"/>
      <c r="F12" s="85" t="str">
        <f>IFERROR(VLOOKUP($D$2,福祉!$B$2:$AG$897,10,FALSE),0)</f>
        <v>白老郡白老町字北吉原１３３－２</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白老郡白老町</v>
      </c>
      <c r="E14" s="80"/>
      <c r="F14" s="80"/>
      <c r="G14" s="80"/>
      <c r="H14" s="80"/>
      <c r="I14" s="80"/>
      <c r="J14" s="80"/>
      <c r="K14" s="81"/>
      <c r="O14" s="55"/>
      <c r="X14" s="55"/>
      <c r="Y14" s="90"/>
    </row>
    <row r="15" spans="1:25" ht="30" customHeight="1" x14ac:dyDescent="0.2">
      <c r="A15" s="77" t="s">
        <v>345</v>
      </c>
      <c r="B15" s="78"/>
      <c r="C15" s="78"/>
      <c r="D15" s="91" t="str">
        <f>VLOOKUP($D$2,福祉!$B$2:$AG$897,16,FALSE)</f>
        <v>イニホト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ぬくもりの里ふれあい</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0</v>
      </c>
      <c r="G23" s="119">
        <f>IFERROR(VLOOKUP($D$2,福祉!$B$2:$AG$897,23,FALSE),0)</f>
        <v>0</v>
      </c>
      <c r="H23" s="119">
        <f>IFERROR(VLOOKUP($D$2,福祉!$B$2:$AG$897,25,FALSE),0)</f>
        <v>0</v>
      </c>
      <c r="I23" s="119">
        <f>IFERROR(VLOOKUP($D$2,福祉!$B$2:$AG$897,27,FALSE),0)</f>
        <v>4</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4</v>
      </c>
      <c r="J24" s="124"/>
      <c r="K24" s="125">
        <f>SUM(E24:I24)</f>
        <v>4</v>
      </c>
    </row>
    <row r="25" spans="1:24" ht="14.25" customHeight="1"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4.25" customHeight="1" x14ac:dyDescent="0.2">
      <c r="A28" s="129" t="s">
        <v>360</v>
      </c>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0</v>
      </c>
      <c r="G35" s="119">
        <f t="shared" si="0"/>
        <v>0</v>
      </c>
      <c r="H35" s="119">
        <f t="shared" si="0"/>
        <v>0</v>
      </c>
      <c r="I35" s="119">
        <f t="shared" si="0"/>
        <v>4</v>
      </c>
      <c r="J35" s="119">
        <f t="shared" si="0"/>
        <v>0</v>
      </c>
      <c r="K35" s="120">
        <f>SUM(E35:J35)</f>
        <v>4</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4</v>
      </c>
      <c r="J36" s="147"/>
      <c r="K36" s="148">
        <f>SUM(E36:I36)</f>
        <v>4</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ng42Tw91Lcgk106YjnGBA9J5PPYCTfY1VfS86N6EIe1nvxcCDQ+0CO+qXflfXpO30H5jZRwfJ/l/5K4oRJ0X9g==" saltValue="IFECAG4ELLaDvbQIRPCoB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B04CF6BE-896C-4D88-B5EA-D3739C04D390}"/>
    <dataValidation type="list" allowBlank="1" showInputMessage="1" sqref="A22:B33" xr:uid="{C7844AB1-C9B2-4DB7-BCF6-497C6AB148BB}">
      <formula1>"交通空白地有償運送,福祉有償運送"</formula1>
    </dataValidation>
    <dataValidation type="list" allowBlank="1" showInputMessage="1" sqref="D10" xr:uid="{AE328804-D270-4982-AA66-A3B96AAA96BF}">
      <formula1>"○"</formula1>
    </dataValidation>
  </dataValidations>
  <hyperlinks>
    <hyperlink ref="O1:Q1" location="福祉!A1" display="福祉!A1" xr:uid="{FCC863BF-71C5-495C-8D49-D0A4D4995048}"/>
  </hyperlinks>
  <pageMargins left="0.25" right="0.25" top="0.75" bottom="0.75" header="0.3" footer="0.3"/>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2CBC-E6B1-4DAB-9A3F-8C871B8BC498}">
  <sheetPr codeName="Sheet34">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390</v>
      </c>
      <c r="E2" s="63"/>
      <c r="F2" s="63"/>
      <c r="G2" s="63"/>
      <c r="H2" s="63"/>
      <c r="I2" s="63"/>
      <c r="J2" s="63"/>
      <c r="K2" s="64"/>
    </row>
    <row r="3" spans="1:25" ht="30" customHeight="1" x14ac:dyDescent="0.2">
      <c r="A3" s="65" t="s">
        <v>332</v>
      </c>
      <c r="B3" s="66"/>
      <c r="C3" s="66"/>
      <c r="D3" s="67">
        <f>VLOOKUP($D$2,福祉!$B$2:$AG$897,2,FALSE)</f>
        <v>42751</v>
      </c>
      <c r="E3" s="68"/>
      <c r="F3" s="68"/>
      <c r="G3" s="68"/>
      <c r="H3" s="68"/>
      <c r="I3" s="68"/>
      <c r="J3" s="68"/>
      <c r="K3" s="69"/>
    </row>
    <row r="4" spans="1:25" ht="30" customHeight="1" x14ac:dyDescent="0.2">
      <c r="A4" s="65" t="s">
        <v>333</v>
      </c>
      <c r="B4" s="66"/>
      <c r="C4" s="66"/>
      <c r="D4" s="67">
        <f>VLOOKUP($D$2,福祉!$B$2:$AG$897,3,FALSE)</f>
        <v>44574</v>
      </c>
      <c r="E4" s="68"/>
      <c r="F4" s="68"/>
      <c r="G4" s="68"/>
      <c r="H4" s="68"/>
      <c r="I4" s="68"/>
      <c r="J4" s="68"/>
      <c r="K4" s="69"/>
    </row>
    <row r="5" spans="1:25" ht="30" customHeight="1" x14ac:dyDescent="0.2">
      <c r="A5" s="65" t="s">
        <v>334</v>
      </c>
      <c r="B5" s="66"/>
      <c r="C5" s="66"/>
      <c r="D5" s="67">
        <f>VLOOKUP($D$2,福祉!$B$2:$AG$897,4,FALSE)</f>
        <v>45672</v>
      </c>
      <c r="E5" s="68"/>
      <c r="F5" s="68"/>
      <c r="G5" s="68"/>
      <c r="H5" s="68"/>
      <c r="I5" s="68"/>
      <c r="J5" s="68"/>
      <c r="K5" s="69"/>
    </row>
    <row r="6" spans="1:25" ht="30" customHeight="1" x14ac:dyDescent="0.2">
      <c r="A6" s="65" t="s">
        <v>335</v>
      </c>
      <c r="B6" s="66"/>
      <c r="C6" s="66"/>
      <c r="D6" s="67" t="str">
        <f>VLOOKUP($D$2,福祉!$B$2:$AG$897,5,FALSE)</f>
        <v>社会福祉法人　北海道社会事業協会</v>
      </c>
      <c r="E6" s="68"/>
      <c r="F6" s="68"/>
      <c r="G6" s="68"/>
      <c r="H6" s="68"/>
      <c r="I6" s="68"/>
      <c r="J6" s="68"/>
      <c r="K6" s="69"/>
    </row>
    <row r="7" spans="1:25" ht="30" customHeight="1" x14ac:dyDescent="0.2">
      <c r="A7" s="65" t="s">
        <v>336</v>
      </c>
      <c r="B7" s="66"/>
      <c r="C7" s="66"/>
      <c r="D7" s="67" t="str">
        <f>VLOOKUP($D$2,福祉!$B$2:$AG$897,6,FALSE)</f>
        <v>吉田　秀明</v>
      </c>
      <c r="E7" s="68"/>
      <c r="F7" s="68"/>
      <c r="G7" s="68"/>
      <c r="H7" s="68"/>
      <c r="I7" s="68"/>
      <c r="J7" s="68"/>
      <c r="K7" s="69"/>
    </row>
    <row r="8" spans="1:25" ht="30" customHeight="1" x14ac:dyDescent="0.2">
      <c r="A8" s="65" t="s">
        <v>337</v>
      </c>
      <c r="B8" s="66"/>
      <c r="C8" s="66"/>
      <c r="D8" s="67" t="str">
        <f>VLOOKUP($D$2,福祉!$B$2:$AG$897,8,FALSE)</f>
        <v>札幌市中央区北４条西６丁目１番１</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ヘルパーステーションあじさい</v>
      </c>
      <c r="E12" s="85"/>
      <c r="F12" s="85" t="str">
        <f>IFERROR(VLOOKUP($D$2,福祉!$B$2:$AG$897,10,FALSE),0)</f>
        <v>虻田郡洞爺湖町高砂町１２６番地</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虻田郡洞爺湖町</v>
      </c>
      <c r="E14" s="80"/>
      <c r="F14" s="80"/>
      <c r="G14" s="80"/>
      <c r="H14" s="80"/>
      <c r="I14" s="80"/>
      <c r="J14" s="80"/>
      <c r="K14" s="81"/>
      <c r="O14" s="55"/>
      <c r="X14" s="55"/>
      <c r="Y14" s="90"/>
    </row>
    <row r="15" spans="1:25" ht="30" customHeight="1" x14ac:dyDescent="0.2">
      <c r="A15" s="77" t="s">
        <v>345</v>
      </c>
      <c r="B15" s="78"/>
      <c r="C15" s="78"/>
      <c r="D15" s="91" t="str">
        <f>VLOOKUP($D$2,福祉!$B$2:$AG$897,16,FALSE)</f>
        <v>イニホ</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ヘルパーステーションあじさい</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2</v>
      </c>
      <c r="G23" s="119">
        <f>IFERROR(VLOOKUP($D$2,福祉!$B$2:$AG$897,23,FALSE),0)</f>
        <v>0</v>
      </c>
      <c r="H23" s="119">
        <f>IFERROR(VLOOKUP($D$2,福祉!$B$2:$AG$897,25,FALSE),0)</f>
        <v>0</v>
      </c>
      <c r="I23" s="119">
        <f>IFERROR(VLOOKUP($D$2,福祉!$B$2:$AG$897,27,FALSE),0)</f>
        <v>5</v>
      </c>
      <c r="J23" s="119">
        <f>IFERROR(VLOOKUP($D$2,福祉!$B$2:$AG$897,29,FALSE),0)</f>
        <v>0</v>
      </c>
      <c r="K23" s="120">
        <f>SUM(E23:J23)</f>
        <v>7</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5</v>
      </c>
      <c r="J24" s="124"/>
      <c r="K24" s="125">
        <f>SUM(E24:I24)</f>
        <v>6</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2</v>
      </c>
      <c r="G35" s="119">
        <f t="shared" si="0"/>
        <v>0</v>
      </c>
      <c r="H35" s="119">
        <f t="shared" si="0"/>
        <v>0</v>
      </c>
      <c r="I35" s="119">
        <f t="shared" si="0"/>
        <v>5</v>
      </c>
      <c r="J35" s="119">
        <f t="shared" si="0"/>
        <v>0</v>
      </c>
      <c r="K35" s="120">
        <f>SUM(E35:J35)</f>
        <v>7</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5</v>
      </c>
      <c r="J36" s="147"/>
      <c r="K36" s="148">
        <f>SUM(E36:I36)</f>
        <v>6</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Q4nxx18F+ORZgymPbFemhO8sPipUtyTIGLTFTxftBak7HFBIVh5+pf9zRyksTnKwLZpK2SG+lQ1Wgg8mAuW0HQ==" saltValue="kUVx3su8mna1yhNaOiXnA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56E6B2B-A82D-4EFE-9621-34ED878B4493}">
      <formula1>"○"</formula1>
    </dataValidation>
    <dataValidation type="list" allowBlank="1" showInputMessage="1" sqref="A22:B33" xr:uid="{3BF33260-47DC-4F19-A58C-6C2740047005}">
      <formula1>"交通空白地有償運送,福祉有償運送"</formula1>
    </dataValidation>
    <dataValidation allowBlank="1" showInputMessage="1" sqref="D2:K2" xr:uid="{DA48BE99-016C-45F9-A28D-EF9F5B9494BA}"/>
  </dataValidations>
  <hyperlinks>
    <hyperlink ref="O1:Q1" location="福祉!A1" display="福祉!A1" xr:uid="{C43828F2-DFEC-4A0E-8560-5D2E099E3656}"/>
  </hyperlinks>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E29DE-FAC7-48DF-A1B8-02766C46B2E9}">
  <sheetPr codeName="Sheet4">
    <tabColor theme="5" tint="0.59999389629810485"/>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331</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45198</v>
      </c>
      <c r="E4" s="68"/>
      <c r="F4" s="68"/>
      <c r="G4" s="68"/>
      <c r="H4" s="68"/>
      <c r="I4" s="68"/>
      <c r="J4" s="68"/>
      <c r="K4" s="69"/>
    </row>
    <row r="5" spans="1:25" ht="30" customHeight="1" x14ac:dyDescent="0.2">
      <c r="A5" s="65" t="s">
        <v>334</v>
      </c>
      <c r="B5" s="66"/>
      <c r="C5" s="66"/>
      <c r="D5" s="67">
        <f>VLOOKUP($D$2,福祉!$B$2:$AG$25,4,FALSE)</f>
        <v>46295</v>
      </c>
      <c r="E5" s="68"/>
      <c r="F5" s="68"/>
      <c r="G5" s="68"/>
      <c r="H5" s="68"/>
      <c r="I5" s="68"/>
      <c r="J5" s="68"/>
      <c r="K5" s="69"/>
    </row>
    <row r="6" spans="1:25" ht="30" customHeight="1" x14ac:dyDescent="0.2">
      <c r="A6" s="65" t="s">
        <v>335</v>
      </c>
      <c r="B6" s="66"/>
      <c r="C6" s="66"/>
      <c r="D6" s="67" t="str">
        <f>VLOOKUP($D$2,福祉!$B$2:$AG$25,5,FALSE)</f>
        <v>豊浦町</v>
      </c>
      <c r="E6" s="68"/>
      <c r="F6" s="68"/>
      <c r="G6" s="68"/>
      <c r="H6" s="68"/>
      <c r="I6" s="68"/>
      <c r="J6" s="68"/>
      <c r="K6" s="69"/>
    </row>
    <row r="7" spans="1:25" ht="30" customHeight="1" x14ac:dyDescent="0.2">
      <c r="A7" s="65" t="s">
        <v>336</v>
      </c>
      <c r="B7" s="66"/>
      <c r="C7" s="66"/>
      <c r="D7" s="67" t="str">
        <f>VLOOKUP($D$2,福祉!$B$2:$AG$25,6,FALSE)</f>
        <v>村井　洋一</v>
      </c>
      <c r="E7" s="68"/>
      <c r="F7" s="68"/>
      <c r="G7" s="68"/>
      <c r="H7" s="68"/>
      <c r="I7" s="68"/>
      <c r="J7" s="68"/>
      <c r="K7" s="69"/>
    </row>
    <row r="8" spans="1:25" ht="30" customHeight="1" x14ac:dyDescent="0.2">
      <c r="A8" s="65" t="s">
        <v>337</v>
      </c>
      <c r="B8" s="66"/>
      <c r="C8" s="66"/>
      <c r="D8" s="67" t="str">
        <f>VLOOKUP($D$2,福祉!$B$2:$AG$25,8,FALSE)</f>
        <v>虻田郡豊浦町字船見町１０番地</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豊浦町総合保健福祉施設</v>
      </c>
      <c r="E12" s="85"/>
      <c r="F12" s="85" t="str">
        <f>IFERROR(VLOOKUP($D$2,福祉!$B$2:$AG$897,10,FALSE),0)</f>
        <v>虻田郡豊浦町字東雲町１６番地１</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9" t="str">
        <f>VLOOKUP($D$2,福祉!$B$2:$AG$25,15,FALSE)</f>
        <v>豊浦町内の利用者宅から町内及び洞爺湖町並びに伊達市の医療機関</v>
      </c>
      <c r="E14" s="89"/>
      <c r="F14" s="89"/>
      <c r="G14" s="89"/>
      <c r="H14" s="80"/>
      <c r="I14" s="80"/>
      <c r="J14" s="80"/>
      <c r="K14" s="81"/>
      <c r="O14" s="55"/>
      <c r="X14" s="55"/>
      <c r="Y14" s="90"/>
    </row>
    <row r="15" spans="1:25" ht="30" customHeight="1" x14ac:dyDescent="0.2">
      <c r="A15" s="77" t="s">
        <v>345</v>
      </c>
      <c r="B15" s="78"/>
      <c r="C15" s="78"/>
      <c r="D15" s="91" t="str">
        <f>VLOOKUP($D$2,福祉!$B$2:$AG$25,16,FALSE)</f>
        <v>イロハ</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豊浦町総合保健福祉施設</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0</v>
      </c>
      <c r="I23" s="119">
        <f>IFERROR(VLOOKUP($D$2,福祉!$B$2:$AG$897,27,FALSE),0)</f>
        <v>3</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3</v>
      </c>
      <c r="J24" s="124"/>
      <c r="K24" s="125">
        <f>SUM(E24:I24)</f>
        <v>3</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0</v>
      </c>
      <c r="I35" s="119">
        <f t="shared" si="0"/>
        <v>3</v>
      </c>
      <c r="J35" s="119">
        <f t="shared" si="0"/>
        <v>0</v>
      </c>
      <c r="K35" s="120">
        <f>SUM(E35:J35)</f>
        <v>4</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3</v>
      </c>
      <c r="J36" s="147"/>
      <c r="K36" s="148">
        <f>SUM(E36:I36)</f>
        <v>3</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C/4S9hRQUYW3tCNhqwa/MDoYh/ltVjXU+TChRGrD1cAuvflfwTF6laTumAquKSwe3QLQroXA30T3kjn/Ui9lLA==" saltValue="Vec6+BOY5GMyYa7PCZv5G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950C39D6-F982-495F-BEC3-E3088432F706}"/>
    <dataValidation type="list" allowBlank="1" showInputMessage="1" sqref="A22:B33" xr:uid="{F672E2F3-73EF-46ED-BC92-903DC8E42EFB}">
      <formula1>"交通空白地有償運送,福祉有償運送"</formula1>
    </dataValidation>
    <dataValidation type="list" allowBlank="1" showInputMessage="1" sqref="D10" xr:uid="{CD3C70B1-A980-472C-A7B3-CED7BB2B3B3E}">
      <formula1>"○"</formula1>
    </dataValidation>
  </dataValidations>
  <hyperlinks>
    <hyperlink ref="O1:Q1" location="福祉!A1" display="目次" xr:uid="{6D72E7DA-52BE-45E2-9327-061191D45165}"/>
  </hyperlinks>
  <pageMargins left="0.25" right="0.25" top="0.75" bottom="0.75" header="0.3" footer="0.3"/>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8A355-E1C7-4E09-B870-6E1885306DC4}">
  <sheetPr codeName="Sheet35">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391</v>
      </c>
      <c r="E2" s="63"/>
      <c r="F2" s="63"/>
      <c r="G2" s="63"/>
      <c r="H2" s="63"/>
      <c r="I2" s="63"/>
      <c r="J2" s="63"/>
      <c r="K2" s="64"/>
    </row>
    <row r="3" spans="1:25" ht="30" customHeight="1" x14ac:dyDescent="0.2">
      <c r="A3" s="65" t="s">
        <v>332</v>
      </c>
      <c r="B3" s="66"/>
      <c r="C3" s="66"/>
      <c r="D3" s="67">
        <f>VLOOKUP($D$2,福祉!$B$2:$AG$897,2,FALSE)</f>
        <v>45181</v>
      </c>
      <c r="E3" s="68"/>
      <c r="F3" s="68"/>
      <c r="G3" s="68"/>
      <c r="H3" s="68"/>
      <c r="I3" s="68"/>
      <c r="J3" s="68"/>
      <c r="K3" s="69"/>
    </row>
    <row r="4" spans="1:25" ht="30" customHeight="1" x14ac:dyDescent="0.2">
      <c r="A4" s="65" t="s">
        <v>333</v>
      </c>
      <c r="B4" s="66"/>
      <c r="C4" s="66"/>
      <c r="D4" s="67">
        <f>VLOOKUP($D$2,福祉!$B$2:$AG$897,3,FALSE)</f>
        <v>45180</v>
      </c>
      <c r="E4" s="68"/>
      <c r="F4" s="68"/>
      <c r="G4" s="68"/>
      <c r="H4" s="68"/>
      <c r="I4" s="68"/>
      <c r="J4" s="68"/>
      <c r="K4" s="69"/>
    </row>
    <row r="5" spans="1:25" ht="30" customHeight="1" x14ac:dyDescent="0.2">
      <c r="A5" s="65" t="s">
        <v>334</v>
      </c>
      <c r="B5" s="66"/>
      <c r="C5" s="66"/>
      <c r="D5" s="67">
        <f>VLOOKUP($D$2,福祉!$B$2:$AG$897,4,FALSE)</f>
        <v>46276</v>
      </c>
      <c r="E5" s="68"/>
      <c r="F5" s="68"/>
      <c r="G5" s="68"/>
      <c r="H5" s="68"/>
      <c r="I5" s="68"/>
      <c r="J5" s="68"/>
      <c r="K5" s="69"/>
    </row>
    <row r="6" spans="1:25" ht="30" customHeight="1" x14ac:dyDescent="0.2">
      <c r="A6" s="65" t="s">
        <v>335</v>
      </c>
      <c r="B6" s="66"/>
      <c r="C6" s="66"/>
      <c r="D6" s="67" t="str">
        <f>VLOOKUP($D$2,福祉!$B$2:$AG$897,5,FALSE)</f>
        <v>社会福祉法人　浦河べてるの家</v>
      </c>
      <c r="E6" s="68"/>
      <c r="F6" s="68"/>
      <c r="G6" s="68"/>
      <c r="H6" s="68"/>
      <c r="I6" s="68"/>
      <c r="J6" s="68"/>
      <c r="K6" s="69"/>
    </row>
    <row r="7" spans="1:25" ht="30" customHeight="1" x14ac:dyDescent="0.2">
      <c r="A7" s="65" t="s">
        <v>336</v>
      </c>
      <c r="B7" s="66"/>
      <c r="C7" s="66"/>
      <c r="D7" s="67" t="str">
        <f>VLOOKUP($D$2,福祉!$B$2:$AG$897,6,FALSE)</f>
        <v>佐々木　実</v>
      </c>
      <c r="E7" s="68"/>
      <c r="F7" s="68"/>
      <c r="G7" s="68"/>
      <c r="H7" s="68"/>
      <c r="I7" s="68"/>
      <c r="J7" s="68"/>
      <c r="K7" s="69"/>
    </row>
    <row r="8" spans="1:25" ht="30" customHeight="1" x14ac:dyDescent="0.2">
      <c r="A8" s="65" t="s">
        <v>337</v>
      </c>
      <c r="B8" s="66"/>
      <c r="C8" s="66"/>
      <c r="D8" s="67" t="str">
        <f>VLOOKUP($D$2,福祉!$B$2:$AG$897,8,FALSE)</f>
        <v>浦河郡浦河町築地３丁目５番２１号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浦河べてるの家</v>
      </c>
      <c r="E12" s="85"/>
      <c r="F12" s="85" t="str">
        <f>IFERROR(VLOOKUP($D$2,福祉!$B$2:$AG$897,10,FALSE),0)</f>
        <v>浦河郡浦河町築地３丁目５番２１号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浦河郡浦河町</v>
      </c>
      <c r="E14" s="80"/>
      <c r="F14" s="80"/>
      <c r="G14" s="80"/>
      <c r="H14" s="80"/>
      <c r="I14" s="80"/>
      <c r="J14" s="80"/>
      <c r="K14" s="81"/>
      <c r="O14" s="55"/>
      <c r="X14" s="55"/>
      <c r="Y14" s="90"/>
    </row>
    <row r="15" spans="1:25" ht="30" customHeight="1" x14ac:dyDescent="0.2">
      <c r="A15" s="77" t="s">
        <v>345</v>
      </c>
      <c r="B15" s="78"/>
      <c r="C15" s="78"/>
      <c r="D15" s="91" t="str">
        <f>VLOOKUP($D$2,福祉!$B$2:$AG$897,16,FALSE)</f>
        <v>ニト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浦河べてるの家</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1</v>
      </c>
      <c r="H23" s="119">
        <f>IFERROR(VLOOKUP($D$2,福祉!$B$2:$AG$897,25,FALSE),0)</f>
        <v>0</v>
      </c>
      <c r="I23" s="119">
        <f>IFERROR(VLOOKUP($D$2,福祉!$B$2:$AG$897,27,FALSE),0)</f>
        <v>2</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2</v>
      </c>
      <c r="J24" s="124"/>
      <c r="K24" s="125">
        <f>SUM(E24:I24)</f>
        <v>3</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1</v>
      </c>
      <c r="H35" s="119">
        <f t="shared" si="0"/>
        <v>0</v>
      </c>
      <c r="I35" s="119">
        <f t="shared" si="0"/>
        <v>2</v>
      </c>
      <c r="J35" s="119">
        <f t="shared" si="0"/>
        <v>0</v>
      </c>
      <c r="K35" s="120">
        <f>SUM(E35:J35)</f>
        <v>4</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2</v>
      </c>
      <c r="J36" s="147"/>
      <c r="K36" s="148">
        <f>SUM(E36:I36)</f>
        <v>3</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tDMAWvee7GqfI/YTex0C2HW2zsaJDyF7fjUEcPEeYOO1yXjf8NfLPtMMhXKdkCz3Nq2Gec9g2Bi46KePGlO9tQ==" saltValue="TmXAKP3nwvshSZc+IskjR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63162235-B876-42BF-9B24-369716E787CE}"/>
    <dataValidation type="list" allowBlank="1" showInputMessage="1" sqref="A22:B33" xr:uid="{A45A0F59-7B6A-4597-81DC-7CFC40F4A567}">
      <formula1>"交通空白地有償運送,福祉有償運送"</formula1>
    </dataValidation>
    <dataValidation type="list" allowBlank="1" showInputMessage="1" sqref="D10" xr:uid="{37DF5541-9325-4DDD-B3CC-64A5C4ADC171}">
      <formula1>"○"</formula1>
    </dataValidation>
  </dataValidations>
  <hyperlinks>
    <hyperlink ref="O1:Q1" location="福祉!A1" display="福祉!A1" xr:uid="{51005932-173B-4454-A22F-BF361E6196B2}"/>
  </hyperlinks>
  <pageMargins left="0.25" right="0.25" top="0.75" bottom="0.75" header="0.3" footer="0.3"/>
  <pageSetup paperSize="9" scale="9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F25CE-174E-4D12-8D59-8369DEEC7391}">
  <sheetPr codeName="Sheet36">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392</v>
      </c>
      <c r="E2" s="63"/>
      <c r="F2" s="63"/>
      <c r="G2" s="63"/>
      <c r="H2" s="63"/>
      <c r="I2" s="63"/>
      <c r="J2" s="63"/>
      <c r="K2" s="64"/>
    </row>
    <row r="3" spans="1:25" ht="30" customHeight="1" x14ac:dyDescent="0.2">
      <c r="A3" s="65" t="s">
        <v>332</v>
      </c>
      <c r="B3" s="66"/>
      <c r="C3" s="66"/>
      <c r="D3" s="67">
        <f>VLOOKUP($D$2,福祉!$B$2:$AG$897,2,FALSE)</f>
        <v>43445</v>
      </c>
      <c r="E3" s="68"/>
      <c r="F3" s="68"/>
      <c r="G3" s="68"/>
      <c r="H3" s="68"/>
      <c r="I3" s="68"/>
      <c r="J3" s="68"/>
      <c r="K3" s="69"/>
    </row>
    <row r="4" spans="1:25" ht="30" customHeight="1" x14ac:dyDescent="0.2">
      <c r="A4" s="65" t="s">
        <v>333</v>
      </c>
      <c r="B4" s="66"/>
      <c r="C4" s="66"/>
      <c r="D4" s="67">
        <f>VLOOKUP($D$2,福祉!$B$2:$AG$897,3,FALSE)</f>
        <v>45268</v>
      </c>
      <c r="E4" s="68"/>
      <c r="F4" s="68"/>
      <c r="G4" s="68"/>
      <c r="H4" s="68"/>
      <c r="I4" s="68"/>
      <c r="J4" s="68"/>
      <c r="K4" s="69"/>
    </row>
    <row r="5" spans="1:25" ht="30" customHeight="1" x14ac:dyDescent="0.2">
      <c r="A5" s="65" t="s">
        <v>334</v>
      </c>
      <c r="B5" s="66"/>
      <c r="C5" s="66"/>
      <c r="D5" s="67">
        <f>VLOOKUP($D$2,福祉!$B$2:$AG$897,4,FALSE)</f>
        <v>46366</v>
      </c>
      <c r="E5" s="68"/>
      <c r="F5" s="68"/>
      <c r="G5" s="68"/>
      <c r="H5" s="68"/>
      <c r="I5" s="68"/>
      <c r="J5" s="68"/>
      <c r="K5" s="69"/>
    </row>
    <row r="6" spans="1:25" ht="30" customHeight="1" x14ac:dyDescent="0.2">
      <c r="A6" s="65" t="s">
        <v>335</v>
      </c>
      <c r="B6" s="66"/>
      <c r="C6" s="66"/>
      <c r="D6" s="67" t="str">
        <f>VLOOKUP($D$2,福祉!$B$2:$AG$897,5,FALSE)</f>
        <v>医療法人　徳洲会</v>
      </c>
      <c r="E6" s="68"/>
      <c r="F6" s="68"/>
      <c r="G6" s="68"/>
      <c r="H6" s="68"/>
      <c r="I6" s="68"/>
      <c r="J6" s="68"/>
      <c r="K6" s="69"/>
    </row>
    <row r="7" spans="1:25" ht="30" customHeight="1" x14ac:dyDescent="0.2">
      <c r="A7" s="65" t="s">
        <v>336</v>
      </c>
      <c r="B7" s="66"/>
      <c r="C7" s="66"/>
      <c r="D7" s="67" t="str">
        <f>VLOOKUP($D$2,福祉!$B$2:$AG$897,6,FALSE)</f>
        <v>東上　震一</v>
      </c>
      <c r="E7" s="68"/>
      <c r="F7" s="68"/>
      <c r="G7" s="68"/>
      <c r="H7" s="68"/>
      <c r="I7" s="68"/>
      <c r="J7" s="68"/>
      <c r="K7" s="69"/>
    </row>
    <row r="8" spans="1:25" ht="30" customHeight="1" x14ac:dyDescent="0.2">
      <c r="A8" s="65" t="s">
        <v>337</v>
      </c>
      <c r="B8" s="66"/>
      <c r="C8" s="66"/>
      <c r="D8" s="67" t="str">
        <f>VLOOKUP($D$2,福祉!$B$2:$AG$897,8,FALSE)</f>
        <v>大阪府大阪市北区梅田一丁目３番１－１２００号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日高徳洲会訪問介護センター</v>
      </c>
      <c r="E12" s="85"/>
      <c r="F12" s="85" t="str">
        <f>IFERROR(VLOOKUP($D$2,福祉!$B$2:$AG$897,10,FALSE),0)</f>
        <v>日高郡新ひだか町静内こうせい町１丁目１０番２７号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日高郡新ひだか町、新冠郡新冠町</v>
      </c>
      <c r="E14" s="80"/>
      <c r="F14" s="80"/>
      <c r="G14" s="80"/>
      <c r="H14" s="80"/>
      <c r="I14" s="80"/>
      <c r="J14" s="80"/>
      <c r="K14" s="81"/>
      <c r="O14" s="55"/>
      <c r="X14" s="55"/>
      <c r="Y14" s="90"/>
    </row>
    <row r="15" spans="1:25" ht="30" customHeight="1" x14ac:dyDescent="0.2">
      <c r="A15" s="77" t="s">
        <v>345</v>
      </c>
      <c r="B15" s="78"/>
      <c r="C15" s="78"/>
      <c r="D15" s="91" t="str">
        <f>VLOOKUP($D$2,福祉!$B$2:$AG$897,16,FALSE)</f>
        <v>イロハニホヘト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日高徳洲会訪問介護センター</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2</v>
      </c>
      <c r="G23" s="119">
        <f>IFERROR(VLOOKUP($D$2,福祉!$B$2:$AG$897,23,FALSE),0)</f>
        <v>0</v>
      </c>
      <c r="H23" s="119">
        <f>IFERROR(VLOOKUP($D$2,福祉!$B$2:$AG$897,25,FALSE),0)</f>
        <v>0</v>
      </c>
      <c r="I23" s="119">
        <f>IFERROR(VLOOKUP($D$2,福祉!$B$2:$AG$897,27,FALSE),0)</f>
        <v>3</v>
      </c>
      <c r="J23" s="119">
        <f>IFERROR(VLOOKUP($D$2,福祉!$B$2:$AG$897,29,FALSE),0)</f>
        <v>0</v>
      </c>
      <c r="K23" s="120">
        <f>SUM(E23:J23)</f>
        <v>5</v>
      </c>
    </row>
    <row r="24" spans="1:24" s="126" customFormat="1" ht="19.8" x14ac:dyDescent="0.2">
      <c r="A24" s="115"/>
      <c r="B24" s="116"/>
      <c r="C24" s="121"/>
      <c r="D24" s="122"/>
      <c r="E24" s="123">
        <f>IFERROR(VLOOKUP($D$2,福祉!$B$2:$AG$897,20,FALSE),0)</f>
        <v>0</v>
      </c>
      <c r="F24" s="123">
        <f>IFERROR(VLOOKUP($D$2,福祉!$B$2:$AG$897,22,FALSE),0)</f>
        <v>2</v>
      </c>
      <c r="G24" s="123">
        <f>IFERROR(VLOOKUP($D$2,福祉!$B$2:$AG$897,24,FALSE),0)</f>
        <v>0</v>
      </c>
      <c r="H24" s="123">
        <f>IFERROR(VLOOKUP($D$2,福祉!$B$2:$AG$897,26,FALSE),0)</f>
        <v>0</v>
      </c>
      <c r="I24" s="123">
        <f>IFERROR(VLOOKUP($D$2,福祉!$B$2:$AG$2897,28,FALSE),0)</f>
        <v>2</v>
      </c>
      <c r="J24" s="124"/>
      <c r="K24" s="125">
        <f>SUM(E24:I24)</f>
        <v>4</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2</v>
      </c>
      <c r="G35" s="119">
        <f t="shared" si="0"/>
        <v>0</v>
      </c>
      <c r="H35" s="119">
        <f t="shared" si="0"/>
        <v>0</v>
      </c>
      <c r="I35" s="119">
        <f t="shared" si="0"/>
        <v>3</v>
      </c>
      <c r="J35" s="119">
        <f t="shared" si="0"/>
        <v>0</v>
      </c>
      <c r="K35" s="120">
        <f>SUM(E35:J35)</f>
        <v>5</v>
      </c>
    </row>
    <row r="36" spans="1:11" ht="20.399999999999999" thickBot="1" x14ac:dyDescent="0.25">
      <c r="A36" s="142"/>
      <c r="B36" s="143"/>
      <c r="C36" s="144"/>
      <c r="D36" s="145"/>
      <c r="E36" s="146">
        <f>SUM(E24+E27+E30+E33)</f>
        <v>0</v>
      </c>
      <c r="F36" s="146">
        <f>SUM(F24+F27+F30+F33)</f>
        <v>2</v>
      </c>
      <c r="G36" s="146">
        <f>SUM(G24+G27+G30+G33)</f>
        <v>0</v>
      </c>
      <c r="H36" s="146">
        <f>SUM(H24+H27+H30+H33)</f>
        <v>0</v>
      </c>
      <c r="I36" s="146">
        <f>SUM(I24+I27+I30+I33)</f>
        <v>2</v>
      </c>
      <c r="J36" s="147"/>
      <c r="K36" s="148">
        <f>SUM(E36:I36)</f>
        <v>4</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1cocjHePZHgMqmKKNjPlq3Sp/ZSQFT50NTgetvJgf7rfpKSn8TFL/andebV6LspCM4xuKpwjwlFtiY74vAAmtQ==" saltValue="bEmmqnjkE1zcfTVmKpMZQ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CCBA941-A5F7-4DC5-9DCF-47AD4B1FF685}">
      <formula1>"○"</formula1>
    </dataValidation>
    <dataValidation type="list" allowBlank="1" showInputMessage="1" sqref="A22:B33" xr:uid="{4E860233-B059-40FC-950E-25156CF73BEC}">
      <formula1>"交通空白地有償運送,福祉有償運送"</formula1>
    </dataValidation>
    <dataValidation allowBlank="1" showInputMessage="1" sqref="D2:K2" xr:uid="{8F49DF52-9F68-411A-B0FE-430314BEFA03}"/>
  </dataValidations>
  <hyperlinks>
    <hyperlink ref="O1:Q1" location="福祉!A1" display="福祉!A1" xr:uid="{692E53ED-9358-45BA-A920-390207A3878F}"/>
  </hyperlinks>
  <pageMargins left="0.25" right="0.25" top="0.75" bottom="0.75" header="0.3" footer="0.3"/>
  <pageSetup paperSize="9" scale="92"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14429-4621-4629-9061-E03219F24671}">
  <sheetPr codeName="Sheet37">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393</v>
      </c>
      <c r="E2" s="63"/>
      <c r="F2" s="63"/>
      <c r="G2" s="63"/>
      <c r="H2" s="63"/>
      <c r="I2" s="63"/>
      <c r="J2" s="63"/>
      <c r="K2" s="64"/>
    </row>
    <row r="3" spans="1:25" ht="30" customHeight="1" x14ac:dyDescent="0.2">
      <c r="A3" s="65" t="s">
        <v>332</v>
      </c>
      <c r="B3" s="66"/>
      <c r="C3" s="66"/>
      <c r="D3" s="67">
        <f>VLOOKUP($D$2,福祉!$B$2:$AG$897,2,FALSE)</f>
        <v>43903</v>
      </c>
      <c r="E3" s="68"/>
      <c r="F3" s="68"/>
      <c r="G3" s="68"/>
      <c r="H3" s="68"/>
      <c r="I3" s="68"/>
      <c r="J3" s="68"/>
      <c r="K3" s="69"/>
    </row>
    <row r="4" spans="1:25" ht="30" customHeight="1" x14ac:dyDescent="0.2">
      <c r="A4" s="65" t="s">
        <v>333</v>
      </c>
      <c r="B4" s="66"/>
      <c r="C4" s="66"/>
      <c r="D4" s="67">
        <f>VLOOKUP($D$2,福祉!$B$2:$AG$897,3,FALSE)</f>
        <v>44650</v>
      </c>
      <c r="E4" s="68"/>
      <c r="F4" s="68"/>
      <c r="G4" s="68"/>
      <c r="H4" s="68"/>
      <c r="I4" s="68"/>
      <c r="J4" s="68"/>
      <c r="K4" s="69"/>
    </row>
    <row r="5" spans="1:25" ht="30" customHeight="1" x14ac:dyDescent="0.2">
      <c r="A5" s="65" t="s">
        <v>334</v>
      </c>
      <c r="B5" s="66"/>
      <c r="C5" s="66"/>
      <c r="D5" s="67">
        <f>VLOOKUP($D$2,福祉!$B$2:$AG$897,4,FALSE)</f>
        <v>45747</v>
      </c>
      <c r="E5" s="68"/>
      <c r="F5" s="68"/>
      <c r="G5" s="68"/>
      <c r="H5" s="68"/>
      <c r="I5" s="68"/>
      <c r="J5" s="68"/>
      <c r="K5" s="69"/>
    </row>
    <row r="6" spans="1:25" ht="30" customHeight="1" x14ac:dyDescent="0.2">
      <c r="A6" s="65" t="s">
        <v>335</v>
      </c>
      <c r="B6" s="66"/>
      <c r="C6" s="66"/>
      <c r="D6" s="67" t="str">
        <f>VLOOKUP($D$2,福祉!$B$2:$AG$897,5,FALSE)</f>
        <v>社会福祉法人　優和会</v>
      </c>
      <c r="E6" s="68"/>
      <c r="F6" s="68"/>
      <c r="G6" s="68"/>
      <c r="H6" s="68"/>
      <c r="I6" s="68"/>
      <c r="J6" s="68"/>
      <c r="K6" s="69"/>
    </row>
    <row r="7" spans="1:25" ht="30" customHeight="1" x14ac:dyDescent="0.2">
      <c r="A7" s="65" t="s">
        <v>336</v>
      </c>
      <c r="B7" s="66"/>
      <c r="C7" s="66"/>
      <c r="D7" s="67" t="str">
        <f>VLOOKUP($D$2,福祉!$B$2:$AG$897,6,FALSE)</f>
        <v>倉地　美直</v>
      </c>
      <c r="E7" s="68"/>
      <c r="F7" s="68"/>
      <c r="G7" s="68"/>
      <c r="H7" s="68"/>
      <c r="I7" s="68"/>
      <c r="J7" s="68"/>
      <c r="K7" s="69"/>
    </row>
    <row r="8" spans="1:25" ht="30" customHeight="1" x14ac:dyDescent="0.2">
      <c r="A8" s="65" t="s">
        <v>337</v>
      </c>
      <c r="B8" s="66"/>
      <c r="C8" s="66"/>
      <c r="D8" s="67" t="str">
        <f>VLOOKUP($D$2,福祉!$B$2:$AG$897,8,FALSE)</f>
        <v>白老郡白老町字萩野３１０番地１１２</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優和会</v>
      </c>
      <c r="E12" s="85"/>
      <c r="F12" s="85" t="str">
        <f>IFERROR(VLOOKUP($D$2,福祉!$B$2:$AG$897,10,FALSE),0)</f>
        <v>白老郡白老町字萩野３１０番地１１２</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白老郡白老町</v>
      </c>
      <c r="E14" s="80"/>
      <c r="F14" s="80"/>
      <c r="G14" s="80"/>
      <c r="H14" s="80"/>
      <c r="I14" s="80"/>
      <c r="J14" s="80"/>
      <c r="K14" s="81"/>
      <c r="O14" s="55"/>
      <c r="X14" s="55"/>
      <c r="Y14" s="90"/>
    </row>
    <row r="15" spans="1:25" ht="30" customHeight="1" x14ac:dyDescent="0.2">
      <c r="A15" s="77" t="s">
        <v>345</v>
      </c>
      <c r="B15" s="78"/>
      <c r="C15" s="78"/>
      <c r="D15" s="91" t="str">
        <f>VLOOKUP($D$2,福祉!$B$2:$AG$897,16,FALSE)</f>
        <v>イロハニホ</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優和会</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4</v>
      </c>
      <c r="G23" s="119">
        <f>IFERROR(VLOOKUP($D$2,福祉!$B$2:$AG$897,23,FALSE),0)</f>
        <v>0</v>
      </c>
      <c r="H23" s="119">
        <f>IFERROR(VLOOKUP($D$2,福祉!$B$2:$AG$897,25,FALSE),0)</f>
        <v>1</v>
      </c>
      <c r="I23" s="119">
        <f>IFERROR(VLOOKUP($D$2,福祉!$B$2:$AG$897,27,FALSE),0)</f>
        <v>4</v>
      </c>
      <c r="J23" s="119">
        <f>IFERROR(VLOOKUP($D$2,福祉!$B$2:$AG$897,29,FALSE),0)</f>
        <v>0</v>
      </c>
      <c r="K23" s="120">
        <f>SUM(E23:J23)</f>
        <v>9</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3</v>
      </c>
      <c r="J24" s="124"/>
      <c r="K24" s="125">
        <f>SUM(E24:I24)</f>
        <v>4</v>
      </c>
    </row>
    <row r="25" spans="1:24" ht="14.25" customHeight="1"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4</v>
      </c>
      <c r="G35" s="119">
        <f t="shared" si="0"/>
        <v>0</v>
      </c>
      <c r="H35" s="119">
        <f t="shared" si="0"/>
        <v>1</v>
      </c>
      <c r="I35" s="119">
        <f t="shared" si="0"/>
        <v>4</v>
      </c>
      <c r="J35" s="119">
        <f t="shared" si="0"/>
        <v>0</v>
      </c>
      <c r="K35" s="120">
        <f>SUM(E35:J35)</f>
        <v>9</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3</v>
      </c>
      <c r="J36" s="147"/>
      <c r="K36" s="148">
        <f>SUM(E36:I36)</f>
        <v>4</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Yw5ETcgnxY0sZVT7UWhhfDJidJr00LBK/0DV6/6E7R5zSav4DAZ5Uvnj4FDQQw3zvkBjRjYztSUYlpu/dIhp7Q==" saltValue="83M1n5PL21Wzn6WUvONUL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F9429F4F-1922-4631-9C4D-532C61FD5B15}"/>
    <dataValidation type="list" allowBlank="1" showInputMessage="1" sqref="A22:B33" xr:uid="{5CD70885-50B3-4434-943F-B2E9561038AC}">
      <formula1>"交通空白地有償運送,福祉有償運送"</formula1>
    </dataValidation>
    <dataValidation type="list" allowBlank="1" showInputMessage="1" sqref="D10" xr:uid="{126E6976-5479-4682-866E-8FF382CB993D}">
      <formula1>"○"</formula1>
    </dataValidation>
  </dataValidations>
  <hyperlinks>
    <hyperlink ref="O1:Q1" location="福祉!A1" display="福祉!A1" xr:uid="{B7531214-3DB0-4111-AB86-4272C7F2F3B2}"/>
  </hyperlinks>
  <pageMargins left="0.25" right="0.25" top="0.75" bottom="0.75" header="0.3" footer="0.3"/>
  <pageSetup paperSize="9" scale="9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C993F-C621-410C-AAFF-2761E6E5B0A3}">
  <sheetPr codeName="Sheet39">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394</v>
      </c>
      <c r="E2" s="63"/>
      <c r="F2" s="63"/>
      <c r="G2" s="63"/>
      <c r="H2" s="63"/>
      <c r="I2" s="63"/>
      <c r="J2" s="63"/>
      <c r="K2" s="64"/>
    </row>
    <row r="3" spans="1:25" ht="30" customHeight="1" x14ac:dyDescent="0.2">
      <c r="A3" s="65" t="s">
        <v>332</v>
      </c>
      <c r="B3" s="66"/>
      <c r="C3" s="66"/>
      <c r="D3" s="67">
        <f>VLOOKUP($D$2,福祉!$B$2:$AG$897,2,FALSE)</f>
        <v>44699</v>
      </c>
      <c r="E3" s="68"/>
      <c r="F3" s="68"/>
      <c r="G3" s="68"/>
      <c r="H3" s="68"/>
      <c r="I3" s="68"/>
      <c r="J3" s="68"/>
      <c r="K3" s="69"/>
    </row>
    <row r="4" spans="1:25" ht="30" customHeight="1" x14ac:dyDescent="0.2">
      <c r="A4" s="65" t="s">
        <v>333</v>
      </c>
      <c r="B4" s="66"/>
      <c r="C4" s="66"/>
      <c r="D4" s="67" t="str">
        <f>VLOOKUP($D$2,福祉!$B$2:$AG$897,3,FALSE)</f>
        <v>-</v>
      </c>
      <c r="E4" s="68"/>
      <c r="F4" s="68"/>
      <c r="G4" s="68"/>
      <c r="H4" s="68"/>
      <c r="I4" s="68"/>
      <c r="J4" s="68"/>
      <c r="K4" s="69"/>
    </row>
    <row r="5" spans="1:25" ht="30" customHeight="1" x14ac:dyDescent="0.2">
      <c r="A5" s="65" t="s">
        <v>334</v>
      </c>
      <c r="B5" s="66"/>
      <c r="C5" s="66"/>
      <c r="D5" s="67">
        <f>VLOOKUP($D$2,福祉!$B$2:$AG$897,4,FALSE)</f>
        <v>45429</v>
      </c>
      <c r="E5" s="68"/>
      <c r="F5" s="68"/>
      <c r="G5" s="68"/>
      <c r="H5" s="68"/>
      <c r="I5" s="68"/>
      <c r="J5" s="68"/>
      <c r="K5" s="69"/>
    </row>
    <row r="6" spans="1:25" ht="30" customHeight="1" x14ac:dyDescent="0.2">
      <c r="A6" s="65" t="s">
        <v>335</v>
      </c>
      <c r="B6" s="66"/>
      <c r="C6" s="66"/>
      <c r="D6" s="67" t="str">
        <f>VLOOKUP($D$2,福祉!$B$2:$AG$897,5,FALSE)</f>
        <v>一般社団法人　福祉輸送サービス</v>
      </c>
      <c r="E6" s="68"/>
      <c r="F6" s="68"/>
      <c r="G6" s="68"/>
      <c r="H6" s="68"/>
      <c r="I6" s="68"/>
      <c r="J6" s="68"/>
      <c r="K6" s="69"/>
    </row>
    <row r="7" spans="1:25" ht="30" customHeight="1" x14ac:dyDescent="0.2">
      <c r="A7" s="65" t="s">
        <v>336</v>
      </c>
      <c r="B7" s="66"/>
      <c r="C7" s="66"/>
      <c r="D7" s="67" t="str">
        <f>VLOOKUP($D$2,福祉!$B$2:$AG$897,6,FALSE)</f>
        <v>米坂　康宏</v>
      </c>
      <c r="E7" s="68"/>
      <c r="F7" s="68"/>
      <c r="G7" s="68"/>
      <c r="H7" s="68"/>
      <c r="I7" s="68"/>
      <c r="J7" s="68"/>
      <c r="K7" s="69"/>
    </row>
    <row r="8" spans="1:25" ht="30" customHeight="1" x14ac:dyDescent="0.2">
      <c r="A8" s="65" t="s">
        <v>337</v>
      </c>
      <c r="B8" s="66"/>
      <c r="C8" s="66"/>
      <c r="D8" s="67" t="str">
        <f>VLOOKUP($D$2,福祉!$B$2:$AG$897,8,FALSE)</f>
        <v>室蘭市高砂町５丁目２２－１６</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一般社団法人　福祉輸送サービス</v>
      </c>
      <c r="E12" s="85"/>
      <c r="F12" s="85" t="str">
        <f>IFERROR(VLOOKUP($D$2,福祉!$B$2:$AG$897,10,FALSE),0)</f>
        <v>室蘭市高砂町５丁目２２－１６</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室蘭市</v>
      </c>
      <c r="E14" s="80"/>
      <c r="F14" s="80"/>
      <c r="G14" s="80"/>
      <c r="H14" s="80"/>
      <c r="I14" s="80"/>
      <c r="J14" s="80"/>
      <c r="K14" s="81"/>
      <c r="O14" s="55"/>
      <c r="X14" s="55"/>
      <c r="Y14" s="90"/>
    </row>
    <row r="15" spans="1:25" ht="30" customHeight="1" x14ac:dyDescent="0.2">
      <c r="A15" s="77" t="s">
        <v>345</v>
      </c>
      <c r="B15" s="78"/>
      <c r="C15" s="78"/>
      <c r="D15" s="91" t="str">
        <f>VLOOKUP($D$2,福祉!$B$2:$AG$897,16,FALSE)</f>
        <v>イホ</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一般社団法人　福祉輸送サービス</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0</v>
      </c>
      <c r="G23" s="119">
        <f>IFERROR(VLOOKUP($D$2,福祉!$B$2:$AG$897,23,FALSE),0)</f>
        <v>0</v>
      </c>
      <c r="H23" s="119">
        <f>IFERROR(VLOOKUP($D$2,福祉!$B$2:$AG$897,25,FALSE),0)</f>
        <v>0</v>
      </c>
      <c r="I23" s="119">
        <f>IFERROR(VLOOKUP($D$2,福祉!$B$2:$AG$897,27,FALSE),0)</f>
        <v>2</v>
      </c>
      <c r="J23" s="119">
        <f>IFERROR(VLOOKUP($D$2,福祉!$B$2:$AG$897,29,FALSE),0)</f>
        <v>0</v>
      </c>
      <c r="K23" s="120">
        <f>SUM(E23:J23)</f>
        <v>2</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1</v>
      </c>
      <c r="J24" s="124"/>
      <c r="K24" s="125">
        <f>SUM(E24:I24)</f>
        <v>1</v>
      </c>
    </row>
    <row r="25" spans="1:24" ht="14.25" customHeight="1"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0</v>
      </c>
      <c r="G35" s="119">
        <f t="shared" si="0"/>
        <v>0</v>
      </c>
      <c r="H35" s="119">
        <f t="shared" si="0"/>
        <v>0</v>
      </c>
      <c r="I35" s="119">
        <f t="shared" si="0"/>
        <v>2</v>
      </c>
      <c r="J35" s="119">
        <f t="shared" si="0"/>
        <v>0</v>
      </c>
      <c r="K35" s="120">
        <f>SUM(E35:J35)</f>
        <v>2</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1</v>
      </c>
      <c r="J36" s="147"/>
      <c r="K36" s="148">
        <f>SUM(E36:I36)</f>
        <v>1</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psQ6IGyT2TmSPz4RJDX6PJzHUGXOB9Oj8whFWaop7yU/Opn+ioqqX8kNulBKTleFUYVapyFcnefaBKSPUlJUtw==" saltValue="corErQ/4BcluWqyHjbX9r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26D312F8-47C0-4B92-86A6-C59A76380DC6}">
      <formula1>"○"</formula1>
    </dataValidation>
    <dataValidation type="list" allowBlank="1" showInputMessage="1" sqref="A22:B33" xr:uid="{CD36A309-D539-4F99-B442-5AA5042F756C}">
      <formula1>"交通空白地有償運送,福祉有償運送"</formula1>
    </dataValidation>
    <dataValidation allowBlank="1" showInputMessage="1" sqref="D2:K2" xr:uid="{5ED431B3-29DD-42DB-8871-8E8369F8449F}"/>
  </dataValidations>
  <hyperlinks>
    <hyperlink ref="O1:Q1" location="福祉!A1" display="福祉!A1" xr:uid="{70906944-594C-4725-8CB9-4A40E8F74BDC}"/>
  </hyperlinks>
  <pageMargins left="0.25" right="0.25" top="0.75" bottom="0.75" header="0.3" footer="0.3"/>
  <pageSetup paperSize="9" scale="9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1DC-7279-40C7-ABAE-E04643D6F915}">
  <sheetPr codeName="Sheet40">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395</v>
      </c>
      <c r="E2" s="63"/>
      <c r="F2" s="63"/>
      <c r="G2" s="63"/>
      <c r="H2" s="63"/>
      <c r="I2" s="63"/>
      <c r="J2" s="63"/>
      <c r="K2" s="64"/>
    </row>
    <row r="3" spans="1:25" ht="30" customHeight="1" x14ac:dyDescent="0.2">
      <c r="A3" s="65" t="s">
        <v>332</v>
      </c>
      <c r="B3" s="66"/>
      <c r="C3" s="66"/>
      <c r="D3" s="67">
        <f>VLOOKUP($D$2,福祉!$B$2:$AG$897,2,FALSE)</f>
        <v>44986</v>
      </c>
      <c r="E3" s="68"/>
      <c r="F3" s="68"/>
      <c r="G3" s="68"/>
      <c r="H3" s="68"/>
      <c r="I3" s="68"/>
      <c r="J3" s="68"/>
      <c r="K3" s="69"/>
    </row>
    <row r="4" spans="1:25" ht="30" customHeight="1" x14ac:dyDescent="0.2">
      <c r="A4" s="65" t="s">
        <v>333</v>
      </c>
      <c r="B4" s="66"/>
      <c r="C4" s="66"/>
      <c r="D4" s="67" t="str">
        <f>VLOOKUP($D$2,福祉!$B$2:$AG$897,3,FALSE)</f>
        <v>-</v>
      </c>
      <c r="E4" s="68"/>
      <c r="F4" s="68"/>
      <c r="G4" s="68"/>
      <c r="H4" s="68"/>
      <c r="I4" s="68"/>
      <c r="J4" s="68"/>
      <c r="K4" s="69"/>
    </row>
    <row r="5" spans="1:25" ht="30" customHeight="1" x14ac:dyDescent="0.2">
      <c r="A5" s="65" t="s">
        <v>334</v>
      </c>
      <c r="B5" s="66"/>
      <c r="C5" s="66"/>
      <c r="D5" s="67">
        <f>VLOOKUP($D$2,福祉!$B$2:$AG$897,4,FALSE)</f>
        <v>45716</v>
      </c>
      <c r="E5" s="68"/>
      <c r="F5" s="68"/>
      <c r="G5" s="68"/>
      <c r="H5" s="68"/>
      <c r="I5" s="68"/>
      <c r="J5" s="68"/>
      <c r="K5" s="69"/>
    </row>
    <row r="6" spans="1:25" ht="30" customHeight="1" x14ac:dyDescent="0.2">
      <c r="A6" s="65" t="s">
        <v>335</v>
      </c>
      <c r="B6" s="66"/>
      <c r="C6" s="66"/>
      <c r="D6" s="67" t="str">
        <f>VLOOKUP($D$2,福祉!$B$2:$AG$897,5,FALSE)</f>
        <v>医療法人社団　新ひだか町社会福祉協議会</v>
      </c>
      <c r="E6" s="68"/>
      <c r="F6" s="68"/>
      <c r="G6" s="68"/>
      <c r="H6" s="68"/>
      <c r="I6" s="68"/>
      <c r="J6" s="68"/>
      <c r="K6" s="69"/>
    </row>
    <row r="7" spans="1:25" ht="30" customHeight="1" x14ac:dyDescent="0.2">
      <c r="A7" s="65" t="s">
        <v>336</v>
      </c>
      <c r="B7" s="66"/>
      <c r="C7" s="66"/>
      <c r="D7" s="67" t="str">
        <f>VLOOKUP($D$2,福祉!$B$2:$AG$897,6,FALSE)</f>
        <v>木村　春夫</v>
      </c>
      <c r="E7" s="68"/>
      <c r="F7" s="68"/>
      <c r="G7" s="68"/>
      <c r="H7" s="68"/>
      <c r="I7" s="68"/>
      <c r="J7" s="68"/>
      <c r="K7" s="69"/>
    </row>
    <row r="8" spans="1:25" ht="30" customHeight="1" x14ac:dyDescent="0.2">
      <c r="A8" s="65" t="s">
        <v>337</v>
      </c>
      <c r="B8" s="66"/>
      <c r="C8" s="66"/>
      <c r="D8" s="67" t="str">
        <f>VLOOKUP($D$2,福祉!$B$2:$AG$897,8,FALSE)</f>
        <v>日高郡新ひだか町静内青柳町２丁目３番１号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新ひだか町社会福祉協議会</v>
      </c>
      <c r="E12" s="85"/>
      <c r="F12" s="85" t="str">
        <f>IFERROR(VLOOKUP($D$2,福祉!$B$2:$AG$897,10,FALSE),0)</f>
        <v>日高郡新ひだか町静内青柳町２丁目３番１号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新ひだか町（旧静内地区）</v>
      </c>
      <c r="E14" s="80"/>
      <c r="F14" s="80"/>
      <c r="G14" s="80"/>
      <c r="H14" s="80"/>
      <c r="I14" s="80"/>
      <c r="J14" s="80"/>
      <c r="K14" s="81"/>
      <c r="O14" s="55"/>
      <c r="X14" s="55"/>
      <c r="Y14" s="90"/>
    </row>
    <row r="15" spans="1:25" ht="30" customHeight="1" x14ac:dyDescent="0.2">
      <c r="A15" s="77" t="s">
        <v>345</v>
      </c>
      <c r="B15" s="78"/>
      <c r="C15" s="78"/>
      <c r="D15" s="91" t="str">
        <f>VLOOKUP($D$2,福祉!$B$2:$AG$897,16,FALSE)</f>
        <v>イニホヘ</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新ひだか町社会福祉協議会</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0</v>
      </c>
      <c r="G23" s="119">
        <f>IFERROR(VLOOKUP($D$2,福祉!$B$2:$AG$897,23,FALSE),0)</f>
        <v>0</v>
      </c>
      <c r="H23" s="119">
        <f>IFERROR(VLOOKUP($D$2,福祉!$B$2:$AG$897,25,FALSE),0)</f>
        <v>0</v>
      </c>
      <c r="I23" s="119">
        <f>IFERROR(VLOOKUP($D$2,福祉!$B$2:$AG$897,27,FALSE),0)</f>
        <v>4</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4</v>
      </c>
      <c r="J24" s="124"/>
      <c r="K24" s="125">
        <f>SUM(E24:I24)</f>
        <v>4</v>
      </c>
    </row>
    <row r="25" spans="1:24" ht="14.25" customHeight="1"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0</v>
      </c>
      <c r="G35" s="119">
        <f t="shared" si="0"/>
        <v>0</v>
      </c>
      <c r="H35" s="119">
        <f t="shared" si="0"/>
        <v>0</v>
      </c>
      <c r="I35" s="119">
        <f t="shared" si="0"/>
        <v>4</v>
      </c>
      <c r="J35" s="119">
        <f t="shared" si="0"/>
        <v>0</v>
      </c>
      <c r="K35" s="120">
        <f>SUM(E35:J35)</f>
        <v>4</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4</v>
      </c>
      <c r="J36" s="147"/>
      <c r="K36" s="148">
        <f>SUM(E36:I36)</f>
        <v>4</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zia+p1DdH8Gkg6KhN1ePMtP9ptHcTY839zNXXYaTp8YUZwL3dk0Gj9Mvsa6Vx3HHf+ntTTURIXlfOsRLvMQYDw==" saltValue="ezt94I2HT5zKgHfK88fz1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F91C693C-977C-4A0C-B7B7-0D9D487D7C95}"/>
    <dataValidation type="list" allowBlank="1" showInputMessage="1" sqref="A22:B33" xr:uid="{85AFF598-C8DC-488F-8501-7D5E72ADFEBA}">
      <formula1>"交通空白地有償運送,福祉有償運送"</formula1>
    </dataValidation>
    <dataValidation type="list" allowBlank="1" showInputMessage="1" sqref="D10" xr:uid="{EEBAEC3D-B265-4D70-B778-54E4529EB972}">
      <formula1>"○"</formula1>
    </dataValidation>
  </dataValidations>
  <hyperlinks>
    <hyperlink ref="O1:Q1" location="福祉!A1" display="福祉!A1" xr:uid="{DE49CB39-3F3A-40ED-96AA-FCBF10E21BC8}"/>
  </hyperlinks>
  <pageMargins left="0.25" right="0.25" top="0.75" bottom="0.75" header="0.3" footer="0.3"/>
  <pageSetup paperSize="9" scale="9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954E-AC55-4FA9-A3C3-4D6C0D65C8FD}">
  <sheetPr codeName="Sheet41">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396</v>
      </c>
      <c r="E2" s="63"/>
      <c r="F2" s="63"/>
      <c r="G2" s="63"/>
      <c r="H2" s="63"/>
      <c r="I2" s="63"/>
      <c r="J2" s="63"/>
      <c r="K2" s="64"/>
    </row>
    <row r="3" spans="1:25" ht="30" customHeight="1" x14ac:dyDescent="0.2">
      <c r="A3" s="65" t="s">
        <v>332</v>
      </c>
      <c r="B3" s="66"/>
      <c r="C3" s="66"/>
      <c r="D3" s="67">
        <f>VLOOKUP($D$2,福祉!$B$2:$AG$897,2,FALSE)</f>
        <v>45002</v>
      </c>
      <c r="E3" s="68"/>
      <c r="F3" s="68"/>
      <c r="G3" s="68"/>
      <c r="H3" s="68"/>
      <c r="I3" s="68"/>
      <c r="J3" s="68"/>
      <c r="K3" s="69"/>
    </row>
    <row r="4" spans="1:25" ht="30" customHeight="1" x14ac:dyDescent="0.2">
      <c r="A4" s="65" t="s">
        <v>333</v>
      </c>
      <c r="B4" s="66"/>
      <c r="C4" s="66"/>
      <c r="D4" s="67" t="str">
        <f>VLOOKUP($D$2,福祉!$B$2:$AG$897,3,FALSE)</f>
        <v>-</v>
      </c>
      <c r="E4" s="68"/>
      <c r="F4" s="68"/>
      <c r="G4" s="68"/>
      <c r="H4" s="68"/>
      <c r="I4" s="68"/>
      <c r="J4" s="68"/>
      <c r="K4" s="69"/>
    </row>
    <row r="5" spans="1:25" ht="30" customHeight="1" x14ac:dyDescent="0.2">
      <c r="A5" s="65" t="s">
        <v>334</v>
      </c>
      <c r="B5" s="66"/>
      <c r="C5" s="66"/>
      <c r="D5" s="67">
        <f>VLOOKUP($D$2,福祉!$B$2:$AG$897,4,FALSE)</f>
        <v>45747</v>
      </c>
      <c r="E5" s="68"/>
      <c r="F5" s="68"/>
      <c r="G5" s="68"/>
      <c r="H5" s="68"/>
      <c r="I5" s="68"/>
      <c r="J5" s="68"/>
      <c r="K5" s="69"/>
    </row>
    <row r="6" spans="1:25" ht="30" customHeight="1" x14ac:dyDescent="0.2">
      <c r="A6" s="65" t="s">
        <v>335</v>
      </c>
      <c r="B6" s="66"/>
      <c r="C6" s="66"/>
      <c r="D6" s="67" t="str">
        <f>VLOOKUP($D$2,福祉!$B$2:$AG$897,5,FALSE)</f>
        <v>社会福祉法人　陵雲厚生会</v>
      </c>
      <c r="E6" s="68"/>
      <c r="F6" s="68"/>
      <c r="G6" s="68"/>
      <c r="H6" s="68"/>
      <c r="I6" s="68"/>
      <c r="J6" s="68"/>
      <c r="K6" s="69"/>
    </row>
    <row r="7" spans="1:25" ht="30" customHeight="1" x14ac:dyDescent="0.2">
      <c r="A7" s="65" t="s">
        <v>336</v>
      </c>
      <c r="B7" s="66"/>
      <c r="C7" s="66"/>
      <c r="D7" s="67" t="str">
        <f>VLOOKUP($D$2,福祉!$B$2:$AG$897,6,FALSE)</f>
        <v>菊地　純司</v>
      </c>
      <c r="E7" s="68"/>
      <c r="F7" s="68"/>
      <c r="G7" s="68"/>
      <c r="H7" s="68"/>
      <c r="I7" s="68"/>
      <c r="J7" s="68"/>
      <c r="K7" s="69"/>
    </row>
    <row r="8" spans="1:25" ht="30" customHeight="1" x14ac:dyDescent="0.2">
      <c r="A8" s="65" t="s">
        <v>337</v>
      </c>
      <c r="B8" s="66"/>
      <c r="C8" s="66"/>
      <c r="D8" s="67" t="str">
        <f>VLOOKUP($D$2,福祉!$B$2:$AG$897,8,FALSE)</f>
        <v>伊達市松ケ枝町１５４番地３０</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サポートセンターひまわり</v>
      </c>
      <c r="E12" s="85"/>
      <c r="F12" s="85" t="str">
        <f>IFERROR(VLOOKUP($D$2,福祉!$B$2:$AG$897,10,FALSE),0)</f>
        <v>伊達市松ケ枝町１５４番地３０</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伊達市（大滝区含む）</v>
      </c>
      <c r="E14" s="80"/>
      <c r="F14" s="80"/>
      <c r="G14" s="80"/>
      <c r="H14" s="80"/>
      <c r="I14" s="80"/>
      <c r="J14" s="80"/>
      <c r="K14" s="81"/>
      <c r="O14" s="55"/>
      <c r="X14" s="55"/>
      <c r="Y14" s="90"/>
    </row>
    <row r="15" spans="1:25" ht="30" customHeight="1" x14ac:dyDescent="0.2">
      <c r="A15" s="77" t="s">
        <v>345</v>
      </c>
      <c r="B15" s="78"/>
      <c r="C15" s="78"/>
      <c r="D15" s="91" t="str">
        <f>VLOOKUP($D$2,福祉!$B$2:$AG$897,16,FALSE)</f>
        <v>イニ</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サポートセンターひまわり</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1</v>
      </c>
      <c r="I23" s="119">
        <f>IFERROR(VLOOKUP($D$2,福祉!$B$2:$AG$897,27,FALSE),0)</f>
        <v>0</v>
      </c>
      <c r="J23" s="119">
        <f>IFERROR(VLOOKUP($D$2,福祉!$B$2:$AG$897,29,FALSE),0)</f>
        <v>0</v>
      </c>
      <c r="K23" s="120">
        <f>SUM(E23:J23)</f>
        <v>2</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0</v>
      </c>
      <c r="J24" s="124"/>
      <c r="K24" s="125">
        <f>SUM(E24:I24)</f>
        <v>0</v>
      </c>
    </row>
    <row r="25" spans="1:24" ht="14.25" customHeight="1"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1</v>
      </c>
      <c r="I35" s="119">
        <f t="shared" si="0"/>
        <v>0</v>
      </c>
      <c r="J35" s="119">
        <f t="shared" si="0"/>
        <v>0</v>
      </c>
      <c r="K35" s="120">
        <f>SUM(E35:J35)</f>
        <v>2</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0</v>
      </c>
      <c r="J36" s="147"/>
      <c r="K36" s="148">
        <f>SUM(E36:I36)</f>
        <v>0</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xMvLI0manoVF25BFzVb5VLUUMqiUqrj8WxOF4TKks+8CF9aRqNlb0TmYn+aMNX0qaD8TO5lS+1OJnky9/4UUw==" saltValue="ossGGLQGtuc+ijTr2KHRc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7847D781-EF62-4DFF-B41F-10EC538B61F4}">
      <formula1>"○"</formula1>
    </dataValidation>
    <dataValidation type="list" allowBlank="1" showInputMessage="1" sqref="A22:B33" xr:uid="{B09A3A93-802E-4C4B-81B8-02EF124B55C3}">
      <formula1>"交通空白地有償運送,福祉有償運送"</formula1>
    </dataValidation>
    <dataValidation allowBlank="1" showInputMessage="1" sqref="D2:K2" xr:uid="{5437E660-2813-477E-B96D-097BA1DFA22A}"/>
  </dataValidations>
  <hyperlinks>
    <hyperlink ref="O1:Q1" location="福祉!A1" display="福祉!A1" xr:uid="{44727CAA-DFB5-4EAF-9724-D323C26DFC1C}"/>
  </hyperlinks>
  <pageMargins left="0.25" right="0.25" top="0.75" bottom="0.75" header="0.3" footer="0.3"/>
  <pageSetup paperSize="9" scale="9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D89D9-11A1-4700-B25A-2CCDE7A4F0A2}">
  <sheetPr codeName="Sheet42">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153" t="s">
        <v>329</v>
      </c>
      <c r="P1" s="154"/>
      <c r="Q1" s="155"/>
    </row>
    <row r="2" spans="1:25" ht="30" customHeight="1" x14ac:dyDescent="0.2">
      <c r="A2" s="60" t="s">
        <v>330</v>
      </c>
      <c r="B2" s="61"/>
      <c r="C2" s="61"/>
      <c r="D2" s="62" t="s">
        <v>397</v>
      </c>
      <c r="E2" s="63"/>
      <c r="F2" s="63"/>
      <c r="G2" s="63"/>
      <c r="H2" s="63"/>
      <c r="I2" s="63"/>
      <c r="J2" s="63"/>
      <c r="K2" s="64"/>
    </row>
    <row r="3" spans="1:25" ht="30" customHeight="1" x14ac:dyDescent="0.2">
      <c r="A3" s="65" t="s">
        <v>332</v>
      </c>
      <c r="B3" s="66"/>
      <c r="C3" s="66"/>
      <c r="D3" s="67">
        <f>VLOOKUP($D$2,福祉!$B$2:$AG$897,2,FALSE)</f>
        <v>45250</v>
      </c>
      <c r="E3" s="68"/>
      <c r="F3" s="68"/>
      <c r="G3" s="68"/>
      <c r="H3" s="68"/>
      <c r="I3" s="68"/>
      <c r="J3" s="68"/>
      <c r="K3" s="69"/>
    </row>
    <row r="4" spans="1:25" ht="30" customHeight="1" x14ac:dyDescent="0.2">
      <c r="A4" s="65" t="s">
        <v>333</v>
      </c>
      <c r="B4" s="66"/>
      <c r="C4" s="66"/>
      <c r="D4" s="67" t="str">
        <f>VLOOKUP($D$2,福祉!$B$2:$AG$897,3,FALSE)</f>
        <v>-</v>
      </c>
      <c r="E4" s="68"/>
      <c r="F4" s="68"/>
      <c r="G4" s="68"/>
      <c r="H4" s="68"/>
      <c r="I4" s="68"/>
      <c r="J4" s="68"/>
      <c r="K4" s="69"/>
    </row>
    <row r="5" spans="1:25" ht="30" customHeight="1" x14ac:dyDescent="0.2">
      <c r="A5" s="65" t="s">
        <v>334</v>
      </c>
      <c r="B5" s="66"/>
      <c r="C5" s="66"/>
      <c r="D5" s="67">
        <f>VLOOKUP($D$2,福祉!$B$2:$AG$897,4,FALSE)</f>
        <v>45980</v>
      </c>
      <c r="E5" s="68"/>
      <c r="F5" s="68"/>
      <c r="G5" s="68"/>
      <c r="H5" s="68"/>
      <c r="I5" s="68"/>
      <c r="J5" s="68"/>
      <c r="K5" s="69"/>
    </row>
    <row r="6" spans="1:25" ht="30" customHeight="1" x14ac:dyDescent="0.2">
      <c r="A6" s="65" t="s">
        <v>335</v>
      </c>
      <c r="B6" s="66"/>
      <c r="C6" s="66"/>
      <c r="D6" s="67" t="str">
        <f>VLOOKUP($D$2,福祉!$B$2:$AG$897,5,FALSE)</f>
        <v>一般社団法人　JIMOTO-L</v>
      </c>
      <c r="E6" s="68"/>
      <c r="F6" s="68"/>
      <c r="G6" s="68"/>
      <c r="H6" s="68"/>
      <c r="I6" s="68"/>
      <c r="J6" s="68"/>
      <c r="K6" s="69"/>
    </row>
    <row r="7" spans="1:25" ht="30" customHeight="1" x14ac:dyDescent="0.2">
      <c r="A7" s="65" t="s">
        <v>336</v>
      </c>
      <c r="B7" s="66"/>
      <c r="C7" s="66"/>
      <c r="D7" s="67" t="str">
        <f>VLOOKUP($D$2,福祉!$B$2:$AG$897,6,FALSE)</f>
        <v>宮崎　健司</v>
      </c>
      <c r="E7" s="68"/>
      <c r="F7" s="68"/>
      <c r="G7" s="68"/>
      <c r="H7" s="68"/>
      <c r="I7" s="68"/>
      <c r="J7" s="68"/>
      <c r="K7" s="69"/>
    </row>
    <row r="8" spans="1:25" ht="30" customHeight="1" x14ac:dyDescent="0.2">
      <c r="A8" s="65" t="s">
        <v>337</v>
      </c>
      <c r="B8" s="66"/>
      <c r="C8" s="66"/>
      <c r="D8" s="67" t="str">
        <f>VLOOKUP($D$2,福祉!$B$2:$AG$897,8,FALSE)</f>
        <v>勇払郡むかわ町美幸１丁目８６番１</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まちのケアリハステーション</v>
      </c>
      <c r="E12" s="85"/>
      <c r="F12" s="85" t="str">
        <f>IFERROR(VLOOKUP($D$2,福祉!$B$2:$AG$897,10,FALSE),0)</f>
        <v>勇払郡むかわ町美幸１丁目８６番１</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VLOOKUP($D$2,福祉!$B$2:$AG$897,15,FALSE)</f>
        <v>むかわ町</v>
      </c>
      <c r="E14" s="80"/>
      <c r="F14" s="80"/>
      <c r="G14" s="80"/>
      <c r="H14" s="80"/>
      <c r="I14" s="80"/>
      <c r="J14" s="80"/>
      <c r="K14" s="81"/>
      <c r="O14" s="55"/>
      <c r="X14" s="55"/>
      <c r="Y14" s="90"/>
    </row>
    <row r="15" spans="1:25" ht="30" customHeight="1" x14ac:dyDescent="0.2">
      <c r="A15" s="77" t="s">
        <v>345</v>
      </c>
      <c r="B15" s="78"/>
      <c r="C15" s="78"/>
      <c r="D15" s="91" t="str">
        <f>VLOOKUP($D$2,福祉!$B$2:$AG$897,16,FALSE)</f>
        <v>イロハニホヘト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まちのケアリハステーション</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0</v>
      </c>
      <c r="I23" s="119">
        <f>IFERROR(VLOOKUP($D$2,福祉!$B$2:$AG$897,27,FALSE),0)</f>
        <v>3</v>
      </c>
      <c r="J23" s="119">
        <f>IFERROR(VLOOKUP($D$2,福祉!$B$2:$AG$897,29,FALSE),0)</f>
        <v>0</v>
      </c>
      <c r="K23" s="120">
        <f>SUM(E23:J23)</f>
        <v>4</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1</v>
      </c>
      <c r="J24" s="124"/>
      <c r="K24" s="125">
        <f>SUM(E24:I24)</f>
        <v>1</v>
      </c>
    </row>
    <row r="25" spans="1:24" ht="14.25" customHeight="1"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0</v>
      </c>
      <c r="I35" s="119">
        <f t="shared" si="0"/>
        <v>3</v>
      </c>
      <c r="J35" s="119">
        <f t="shared" si="0"/>
        <v>0</v>
      </c>
      <c r="K35" s="120">
        <f>SUM(E35:J35)</f>
        <v>4</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1</v>
      </c>
      <c r="J36" s="147"/>
      <c r="K36" s="148">
        <f>SUM(E36:I36)</f>
        <v>1</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7XL9EYfRA32EzHBtTZ2WrkaBquhIFcQhH0D+qDBF7pbda2ndcGqJieg4oeSzNVOD5+Ayx5DxXnRfXiFKZG80Bg==" saltValue="JHmcDth0ECn872lRUHjKu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50A7C2E5-3700-40F5-9D59-5B43BA54CEB5}"/>
    <dataValidation type="list" allowBlank="1" showInputMessage="1" sqref="A22:B33" xr:uid="{1FCA05DD-95F4-47BC-847D-33E2AAE07635}">
      <formula1>"交通空白地有償運送,福祉有償運送"</formula1>
    </dataValidation>
    <dataValidation type="list" allowBlank="1" showInputMessage="1" sqref="D10" xr:uid="{5947D9D0-83D6-46A2-AD04-CD20F5A71A7A}">
      <formula1>"○"</formula1>
    </dataValidation>
  </dataValidations>
  <hyperlinks>
    <hyperlink ref="O1:Q1" location="福祉!A1" display="福祉!A1" xr:uid="{4DA70CAF-87B3-43DE-B37D-A7270B4079D2}"/>
  </hyperlinks>
  <pageMargins left="0.25" right="0.25" top="0.75" bottom="0.75" header="0.3" footer="0.3"/>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9D267-0AAF-48CF-91A5-80A363BDEA3E}">
  <sheetPr codeName="Sheet5">
    <tabColor theme="5" tint="0.59999389629810485"/>
  </sheetPr>
  <dimension ref="A1:Y38"/>
  <sheetViews>
    <sheetView view="pageBreakPreview" topLeftCell="A7"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362</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45154</v>
      </c>
      <c r="E4" s="68"/>
      <c r="F4" s="68"/>
      <c r="G4" s="68"/>
      <c r="H4" s="68"/>
      <c r="I4" s="68"/>
      <c r="J4" s="68"/>
      <c r="K4" s="69"/>
    </row>
    <row r="5" spans="1:25" ht="30" customHeight="1" x14ac:dyDescent="0.2">
      <c r="A5" s="65" t="s">
        <v>334</v>
      </c>
      <c r="B5" s="66"/>
      <c r="C5" s="66"/>
      <c r="D5" s="67">
        <f>VLOOKUP($D$2,福祉!$B$2:$AG$25,4,FALSE)</f>
        <v>46295</v>
      </c>
      <c r="E5" s="68"/>
      <c r="F5" s="68"/>
      <c r="G5" s="68"/>
      <c r="H5" s="68"/>
      <c r="I5" s="68"/>
      <c r="J5" s="68"/>
      <c r="K5" s="69"/>
    </row>
    <row r="6" spans="1:25" ht="30" customHeight="1" x14ac:dyDescent="0.2">
      <c r="A6" s="65" t="s">
        <v>335</v>
      </c>
      <c r="B6" s="66"/>
      <c r="C6" s="66"/>
      <c r="D6" s="67" t="str">
        <f>VLOOKUP($D$2,福祉!$B$2:$AG$25,5,FALSE)</f>
        <v>安平町</v>
      </c>
      <c r="E6" s="68"/>
      <c r="F6" s="68"/>
      <c r="G6" s="68"/>
      <c r="H6" s="68"/>
      <c r="I6" s="68"/>
      <c r="J6" s="68"/>
      <c r="K6" s="69"/>
    </row>
    <row r="7" spans="1:25" ht="30" customHeight="1" x14ac:dyDescent="0.2">
      <c r="A7" s="65" t="s">
        <v>336</v>
      </c>
      <c r="B7" s="66"/>
      <c r="C7" s="66"/>
      <c r="D7" s="67" t="str">
        <f>VLOOKUP($D$2,福祉!$B$2:$AG$25,6,FALSE)</f>
        <v>及川　秀一郎</v>
      </c>
      <c r="E7" s="68"/>
      <c r="F7" s="68"/>
      <c r="G7" s="68"/>
      <c r="H7" s="68"/>
      <c r="I7" s="68"/>
      <c r="J7" s="68"/>
      <c r="K7" s="69"/>
    </row>
    <row r="8" spans="1:25" ht="30" customHeight="1" x14ac:dyDescent="0.2">
      <c r="A8" s="65" t="s">
        <v>337</v>
      </c>
      <c r="B8" s="66"/>
      <c r="C8" s="66"/>
      <c r="D8" s="67" t="str">
        <f>VLOOKUP($D$2,福祉!$B$2:$AG$25,8,FALSE)</f>
        <v>勇払郡安平町早来大町９５番地</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安平町役場総合庁舎</v>
      </c>
      <c r="E12" s="85"/>
      <c r="F12" s="85" t="str">
        <f>IFERROR(VLOOKUP($D$2,福祉!$B$2:$AG$897,10,FALSE),0)</f>
        <v>勇払郡安平町早来大町９５番地</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安平町</v>
      </c>
      <c r="E14" s="80"/>
      <c r="F14" s="80"/>
      <c r="G14" s="80"/>
      <c r="H14" s="80"/>
      <c r="I14" s="80"/>
      <c r="J14" s="80"/>
      <c r="K14" s="81"/>
      <c r="O14" s="55"/>
      <c r="X14" s="55"/>
      <c r="Y14" s="90"/>
    </row>
    <row r="15" spans="1:25" ht="30" customHeight="1" x14ac:dyDescent="0.2">
      <c r="A15" s="77" t="s">
        <v>345</v>
      </c>
      <c r="B15" s="78"/>
      <c r="C15" s="78"/>
      <c r="D15" s="91" t="str">
        <f>VLOOKUP($D$2,福祉!$B$2:$AG$25,16,FALSE)</f>
        <v>イ　　　ニホヘト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9.8" x14ac:dyDescent="0.2">
      <c r="A22" s="109" t="s">
        <v>360</v>
      </c>
      <c r="B22" s="110"/>
      <c r="C22" s="111" t="str">
        <f>D12</f>
        <v>安平町役場総合庁舎</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4</v>
      </c>
      <c r="G23" s="119">
        <f>IFERROR(VLOOKUP($D$2,福祉!$B$2:$AG$897,23,FALSE),0)</f>
        <v>0</v>
      </c>
      <c r="H23" s="119">
        <f>IFERROR(VLOOKUP($D$2,福祉!$B$2:$AG$897,25,FALSE),0)</f>
        <v>1</v>
      </c>
      <c r="I23" s="119">
        <f>IFERROR(VLOOKUP($D$2,福祉!$B$2:$AG$897,27,FALSE),0)</f>
        <v>0</v>
      </c>
      <c r="J23" s="119">
        <f>IFERROR(VLOOKUP($D$2,福祉!$B$2:$AG$897,29,FALSE),0)</f>
        <v>0</v>
      </c>
      <c r="K23" s="120">
        <f>SUM(E23:J23)</f>
        <v>5</v>
      </c>
    </row>
    <row r="24" spans="1:24" s="126" customFormat="1" ht="19.8" x14ac:dyDescent="0.2">
      <c r="A24" s="115"/>
      <c r="B24" s="116"/>
      <c r="C24" s="121"/>
      <c r="D24" s="122"/>
      <c r="E24" s="123">
        <f>IFERROR(VLOOKUP($D$2,福祉!$B$2:$AG$897,20,FALSE),0)</f>
        <v>0</v>
      </c>
      <c r="F24" s="123">
        <f>IFERROR(VLOOKUP($D$2,福祉!$B$2:$AG$897,22,FALSE),0)</f>
        <v>2</v>
      </c>
      <c r="G24" s="123">
        <f>IFERROR(VLOOKUP($D$2,福祉!$B$2:$AG$897,24,FALSE),0)</f>
        <v>0</v>
      </c>
      <c r="H24" s="123">
        <f>IFERROR(VLOOKUP($D$2,福祉!$B$2:$AG$897,26,FALSE),0)</f>
        <v>0</v>
      </c>
      <c r="I24" s="123">
        <f>IFERROR(VLOOKUP($D$2,福祉!$B$2:$AG$2897,28,FALSE),0)</f>
        <v>0</v>
      </c>
      <c r="J24" s="124"/>
      <c r="K24" s="125">
        <f>SUM(E24:I24)</f>
        <v>2</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4</v>
      </c>
      <c r="G35" s="119">
        <f t="shared" si="0"/>
        <v>0</v>
      </c>
      <c r="H35" s="119">
        <f t="shared" si="0"/>
        <v>1</v>
      </c>
      <c r="I35" s="119">
        <f t="shared" si="0"/>
        <v>0</v>
      </c>
      <c r="J35" s="119">
        <f t="shared" si="0"/>
        <v>0</v>
      </c>
      <c r="K35" s="120">
        <f>SUM(E35:J35)</f>
        <v>5</v>
      </c>
    </row>
    <row r="36" spans="1:11" ht="20.399999999999999" thickBot="1" x14ac:dyDescent="0.25">
      <c r="A36" s="142"/>
      <c r="B36" s="143"/>
      <c r="C36" s="144"/>
      <c r="D36" s="145"/>
      <c r="E36" s="146">
        <f>SUM(E24+E27+E30+E33)</f>
        <v>0</v>
      </c>
      <c r="F36" s="146">
        <f>SUM(F24+F27+F30+F33)</f>
        <v>2</v>
      </c>
      <c r="G36" s="146">
        <f>SUM(G24+G27+G30+G33)</f>
        <v>0</v>
      </c>
      <c r="H36" s="146">
        <f>SUM(H24+H27+H30+H33)</f>
        <v>0</v>
      </c>
      <c r="I36" s="146">
        <f>SUM(I24+I27+I30+I33)</f>
        <v>0</v>
      </c>
      <c r="J36" s="147"/>
      <c r="K36" s="148">
        <f>SUM(E36:I36)</f>
        <v>2</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NIdot6EJYdsoMwTLo0aiI5ffqcfy+uWXw7GFlvvR69l9B0oefdmFQ6rI6tTUb07rqwmyUGGW4MdNMyDsigmYBg==" saltValue="N/QJXzykGV1i/hikooxmX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9A4F40B-75D1-4CBA-BAB2-5140A30A0399}">
      <formula1>"○"</formula1>
    </dataValidation>
    <dataValidation type="list" allowBlank="1" showInputMessage="1" sqref="A22:B33" xr:uid="{9BBF3D01-9924-4C3E-8B35-4FAFB248B04A}">
      <formula1>"交通空白地有償運送,福祉有償運送"</formula1>
    </dataValidation>
    <dataValidation allowBlank="1" showInputMessage="1" sqref="D2:K2" xr:uid="{BFC8ABE1-E027-49EE-827E-7A3F0F813ADB}"/>
  </dataValidations>
  <hyperlinks>
    <hyperlink ref="O1:Q1" location="福祉!A1" display="目次" xr:uid="{91BFDD39-1DEA-4171-9370-7C77862432BD}"/>
  </hyperlinks>
  <pageMargins left="0.25" right="0.25" top="0.75" bottom="0.75" header="0.3" footer="0.3"/>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7AFDD-6EAD-4C53-B538-685F147BF608}">
  <sheetPr codeName="Sheet6">
    <tabColor theme="5" tint="0.59999389629810485"/>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363</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45200</v>
      </c>
      <c r="E4" s="68"/>
      <c r="F4" s="68"/>
      <c r="G4" s="68"/>
      <c r="H4" s="68"/>
      <c r="I4" s="68"/>
      <c r="J4" s="68"/>
      <c r="K4" s="69"/>
    </row>
    <row r="5" spans="1:25" ht="30" customHeight="1" x14ac:dyDescent="0.2">
      <c r="A5" s="65" t="s">
        <v>334</v>
      </c>
      <c r="B5" s="66"/>
      <c r="C5" s="66"/>
      <c r="D5" s="67">
        <f>VLOOKUP($D$2,福祉!$B$2:$AG$25,4,FALSE)</f>
        <v>46295</v>
      </c>
      <c r="E5" s="68"/>
      <c r="F5" s="68"/>
      <c r="G5" s="68"/>
      <c r="H5" s="68"/>
      <c r="I5" s="68"/>
      <c r="J5" s="68"/>
      <c r="K5" s="69"/>
    </row>
    <row r="6" spans="1:25" ht="30" customHeight="1" x14ac:dyDescent="0.2">
      <c r="A6" s="65" t="s">
        <v>335</v>
      </c>
      <c r="B6" s="66"/>
      <c r="C6" s="66"/>
      <c r="D6" s="67" t="str">
        <f>VLOOKUP($D$2,福祉!$B$2:$AG$25,5,FALSE)</f>
        <v>日高町</v>
      </c>
      <c r="E6" s="68"/>
      <c r="F6" s="68"/>
      <c r="G6" s="68"/>
      <c r="H6" s="68"/>
      <c r="I6" s="68"/>
      <c r="J6" s="68"/>
      <c r="K6" s="69"/>
    </row>
    <row r="7" spans="1:25" ht="30" customHeight="1" x14ac:dyDescent="0.2">
      <c r="A7" s="65" t="s">
        <v>336</v>
      </c>
      <c r="B7" s="66"/>
      <c r="C7" s="66"/>
      <c r="D7" s="67" t="str">
        <f>VLOOKUP($D$2,福祉!$B$2:$AG$25,6,FALSE)</f>
        <v>大鷹　千秋</v>
      </c>
      <c r="E7" s="68"/>
      <c r="F7" s="68"/>
      <c r="G7" s="68"/>
      <c r="H7" s="68"/>
      <c r="I7" s="68"/>
      <c r="J7" s="68"/>
      <c r="K7" s="69"/>
    </row>
    <row r="8" spans="1:25" ht="30" customHeight="1" x14ac:dyDescent="0.2">
      <c r="A8" s="65" t="s">
        <v>337</v>
      </c>
      <c r="B8" s="66"/>
      <c r="C8" s="66"/>
      <c r="D8" s="67" t="str">
        <f>VLOOKUP($D$2,福祉!$B$2:$AG$25,8,FALSE)</f>
        <v>沙流郡日高町門別本町２１０番地の１</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日高町社会福祉協議会</v>
      </c>
      <c r="E12" s="85"/>
      <c r="F12" s="85" t="str">
        <f>IFERROR(VLOOKUP($D$2,福祉!$B$2:$AG$897,10,FALSE),0)</f>
        <v>沙流郡日高町門別本町１２番地２７</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沙流郡日高町</v>
      </c>
      <c r="E14" s="80"/>
      <c r="F14" s="80"/>
      <c r="G14" s="80"/>
      <c r="H14" s="80"/>
      <c r="I14" s="80"/>
      <c r="J14" s="80"/>
      <c r="K14" s="81"/>
      <c r="O14" s="55"/>
      <c r="X14" s="55"/>
      <c r="Y14" s="90"/>
    </row>
    <row r="15" spans="1:25" ht="30" customHeight="1" x14ac:dyDescent="0.2">
      <c r="A15" s="77" t="s">
        <v>345</v>
      </c>
      <c r="B15" s="78"/>
      <c r="C15" s="78"/>
      <c r="D15" s="91" t="str">
        <f>VLOOKUP($D$2,福祉!$B$2:$AG$25,16,FALSE)</f>
        <v>【新】イロハニ</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日高町社会福祉協議会</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2</v>
      </c>
      <c r="G23" s="119">
        <f>IFERROR(VLOOKUP($D$2,福祉!$B$2:$AG$897,23,FALSE),0)</f>
        <v>0</v>
      </c>
      <c r="H23" s="119">
        <f>IFERROR(VLOOKUP($D$2,福祉!$B$2:$AG$897,25,FALSE),0)</f>
        <v>0</v>
      </c>
      <c r="I23" s="119">
        <f>IFERROR(VLOOKUP($D$2,福祉!$B$2:$AG$897,27,FALSE),0)</f>
        <v>1</v>
      </c>
      <c r="J23" s="119">
        <f>IFERROR(VLOOKUP($D$2,福祉!$B$2:$AG$897,29,FALSE),0)</f>
        <v>0</v>
      </c>
      <c r="K23" s="120">
        <f>SUM(E23:J23)</f>
        <v>3</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0</v>
      </c>
      <c r="J24" s="124"/>
      <c r="K24" s="125">
        <f>SUM(E24:I24)</f>
        <v>0</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2</v>
      </c>
      <c r="G35" s="119">
        <f t="shared" si="0"/>
        <v>0</v>
      </c>
      <c r="H35" s="119">
        <f t="shared" si="0"/>
        <v>0</v>
      </c>
      <c r="I35" s="119">
        <f t="shared" si="0"/>
        <v>1</v>
      </c>
      <c r="J35" s="119">
        <f t="shared" si="0"/>
        <v>0</v>
      </c>
      <c r="K35" s="120">
        <f>SUM(E35:J35)</f>
        <v>3</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0</v>
      </c>
      <c r="J36" s="147"/>
      <c r="K36" s="148">
        <f>SUM(E36:I36)</f>
        <v>0</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478fsLrMa+7UX2eso+vKmhMNQjwAsuaoXHy9QNX25bfmz3CYqkUZgTgfXOYuIRuqxxxMwiLfIwjEjKQ/s/aCJg==" saltValue="hPo2NJ6CgCW6qWg6Itrdo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8913DF67-6B80-45EA-9DA9-1C5F9184747E}"/>
    <dataValidation type="list" allowBlank="1" showInputMessage="1" sqref="A22:B33" xr:uid="{FDC269B4-E882-4ACD-BE60-B82730B487C8}">
      <formula1>"交通空白地有償運送,福祉有償運送"</formula1>
    </dataValidation>
    <dataValidation type="list" allowBlank="1" showInputMessage="1" sqref="D10" xr:uid="{634AC64B-4003-4340-8A20-7159D110E554}">
      <formula1>"○"</formula1>
    </dataValidation>
  </dataValidations>
  <hyperlinks>
    <hyperlink ref="O1:Q1" location="福祉!A1" display="目次" xr:uid="{E798EDA3-B334-441C-A0D3-9F7533267994}"/>
  </hyperlinks>
  <pageMargins left="0.25" right="0.25" top="0.75" bottom="0.75" header="0.3" footer="0.3"/>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8D64-C206-4544-8BF5-95ADFD507A48}">
  <sheetPr codeName="Sheet7">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364</v>
      </c>
      <c r="E2" s="63"/>
      <c r="F2" s="63"/>
      <c r="G2" s="63"/>
      <c r="H2" s="63"/>
      <c r="I2" s="63"/>
      <c r="J2" s="63"/>
      <c r="K2" s="64"/>
    </row>
    <row r="3" spans="1:25" ht="30" customHeight="1" x14ac:dyDescent="0.2">
      <c r="A3" s="65" t="s">
        <v>332</v>
      </c>
      <c r="B3" s="66"/>
      <c r="C3" s="66"/>
      <c r="D3" s="67">
        <f>VLOOKUP($D$2,福祉!$B$2:$AG$25,2,FALSE)</f>
        <v>39168</v>
      </c>
      <c r="E3" s="68"/>
      <c r="F3" s="68"/>
      <c r="G3" s="68"/>
      <c r="H3" s="68"/>
      <c r="I3" s="68"/>
      <c r="J3" s="68"/>
      <c r="K3" s="69"/>
    </row>
    <row r="4" spans="1:25" ht="30" customHeight="1" x14ac:dyDescent="0.2">
      <c r="A4" s="65" t="s">
        <v>333</v>
      </c>
      <c r="B4" s="66"/>
      <c r="C4" s="66"/>
      <c r="D4" s="67">
        <f>VLOOKUP($D$2,福祉!$B$2:$AG$25,3,FALSE)</f>
        <v>45377</v>
      </c>
      <c r="E4" s="68"/>
      <c r="F4" s="68"/>
      <c r="G4" s="68"/>
      <c r="H4" s="68"/>
      <c r="I4" s="68"/>
      <c r="J4" s="68"/>
      <c r="K4" s="69"/>
    </row>
    <row r="5" spans="1:25" ht="30" customHeight="1" x14ac:dyDescent="0.2">
      <c r="A5" s="65" t="s">
        <v>334</v>
      </c>
      <c r="B5" s="66"/>
      <c r="C5" s="66"/>
      <c r="D5" s="67">
        <f>VLOOKUP($D$2,福祉!$B$2:$AG$25,4,FALSE)</f>
        <v>46472</v>
      </c>
      <c r="E5" s="68"/>
      <c r="F5" s="68"/>
      <c r="G5" s="68"/>
      <c r="H5" s="68"/>
      <c r="I5" s="68"/>
      <c r="J5" s="68"/>
      <c r="K5" s="69"/>
    </row>
    <row r="6" spans="1:25" ht="30" customHeight="1" x14ac:dyDescent="0.2">
      <c r="A6" s="65" t="s">
        <v>335</v>
      </c>
      <c r="B6" s="66"/>
      <c r="C6" s="66"/>
      <c r="D6" s="67" t="str">
        <f>VLOOKUP($D$2,福祉!$B$2:$AG$25,5,FALSE)</f>
        <v>特定非営利活動法人　なずな</v>
      </c>
      <c r="E6" s="68"/>
      <c r="F6" s="68"/>
      <c r="G6" s="68"/>
      <c r="H6" s="68"/>
      <c r="I6" s="68"/>
      <c r="J6" s="68"/>
      <c r="K6" s="69"/>
    </row>
    <row r="7" spans="1:25" ht="30" customHeight="1" x14ac:dyDescent="0.2">
      <c r="A7" s="65" t="s">
        <v>336</v>
      </c>
      <c r="B7" s="66"/>
      <c r="C7" s="66"/>
      <c r="D7" s="67" t="str">
        <f>VLOOKUP($D$2,福祉!$B$2:$AG$25,6,FALSE)</f>
        <v>甘　朝美</v>
      </c>
      <c r="E7" s="68"/>
      <c r="F7" s="68"/>
      <c r="G7" s="68"/>
      <c r="H7" s="68"/>
      <c r="I7" s="68"/>
      <c r="J7" s="68"/>
      <c r="K7" s="69"/>
    </row>
    <row r="8" spans="1:25" ht="30" customHeight="1" x14ac:dyDescent="0.2">
      <c r="A8" s="65" t="s">
        <v>337</v>
      </c>
      <c r="B8" s="66"/>
      <c r="C8" s="66"/>
      <c r="D8" s="67" t="str">
        <f>VLOOKUP($D$2,福祉!$B$2:$AG$25,8,FALSE)</f>
        <v>日高郡新ひだか町静内吉野町２丁目２番２６号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特定非営利活動法人　なずな</v>
      </c>
      <c r="E12" s="85"/>
      <c r="F12" s="85" t="str">
        <f>IFERROR(VLOOKUP($D$2,福祉!$B$2:$AG$897,10,FALSE),0)</f>
        <v>日高郡新ひだか町静内吉野町２丁目２番２６号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新ひだか町</v>
      </c>
      <c r="E14" s="80"/>
      <c r="F14" s="80"/>
      <c r="G14" s="80"/>
      <c r="H14" s="80"/>
      <c r="I14" s="80"/>
      <c r="J14" s="80"/>
      <c r="K14" s="81"/>
      <c r="O14" s="55"/>
      <c r="X14" s="55"/>
      <c r="Y14" s="90"/>
    </row>
    <row r="15" spans="1:25" ht="30" customHeight="1" x14ac:dyDescent="0.2">
      <c r="A15" s="77" t="s">
        <v>345</v>
      </c>
      <c r="B15" s="78"/>
      <c r="C15" s="78"/>
      <c r="D15" s="91" t="str">
        <f>VLOOKUP($D$2,福祉!$B$2:$AG$25,16,FALSE)</f>
        <v>イロ　 ニホ　 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特定非営利活動法人　なずな</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0</v>
      </c>
      <c r="G23" s="119">
        <f>IFERROR(VLOOKUP($D$2,福祉!$B$2:$AG$897,23,FALSE),0)</f>
        <v>0</v>
      </c>
      <c r="H23" s="119">
        <f>IFERROR(VLOOKUP($D$2,福祉!$B$2:$AG$897,25,FALSE),0)</f>
        <v>0</v>
      </c>
      <c r="I23" s="119">
        <f>IFERROR(VLOOKUP($D$2,福祉!$B$2:$AG$897,27,FALSE),0)</f>
        <v>3</v>
      </c>
      <c r="J23" s="119">
        <f>IFERROR(VLOOKUP($D$2,福祉!$B$2:$AG$897,29,FALSE),0)</f>
        <v>0</v>
      </c>
      <c r="K23" s="120">
        <f>SUM(E23:J23)</f>
        <v>3</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3</v>
      </c>
      <c r="J24" s="124"/>
      <c r="K24" s="125">
        <f>SUM(E24:I24)</f>
        <v>3</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0</v>
      </c>
      <c r="G35" s="119">
        <f t="shared" si="0"/>
        <v>0</v>
      </c>
      <c r="H35" s="119">
        <f t="shared" si="0"/>
        <v>0</v>
      </c>
      <c r="I35" s="119">
        <f t="shared" si="0"/>
        <v>3</v>
      </c>
      <c r="J35" s="119">
        <f t="shared" si="0"/>
        <v>0</v>
      </c>
      <c r="K35" s="120">
        <f>SUM(E35:J35)</f>
        <v>3</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3</v>
      </c>
      <c r="J36" s="147"/>
      <c r="K36" s="148">
        <f>SUM(E36:I36)</f>
        <v>3</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GbrROpxGxsZ/0rZf/SyYgLQRu/BNtA9ZfY8Q9ba6m2cEoV7ok4Tjn03Jb+JWW/SCPXrsRKlfko9AIom3dOxWSQ==" saltValue="FUL5+4a4U1/xRp0qE0i90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786A059-DACD-4B17-BFBD-841EC6C9E953}">
      <formula1>"○"</formula1>
    </dataValidation>
    <dataValidation type="list" allowBlank="1" showInputMessage="1" sqref="A22:B33" xr:uid="{39DACED3-BB03-4425-8A46-FC8475D1F82D}">
      <formula1>"交通空白地有償運送,福祉有償運送"</formula1>
    </dataValidation>
    <dataValidation allowBlank="1" showInputMessage="1" sqref="D2:K2" xr:uid="{0BDE6D54-C24F-49CB-9F13-C0058B1FBB9F}"/>
  </dataValidations>
  <hyperlinks>
    <hyperlink ref="O1:Q1" location="福祉!A1" display="目次" xr:uid="{8812B862-D16A-45A5-9F48-0394E12F9697}"/>
  </hyperlinks>
  <pageMargins left="0.25" right="0.25" top="0.75" bottom="0.75"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58103-5882-4CBF-9A3C-3D3CC6E140BB}">
  <sheetPr codeName="Sheet18">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365</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45195</v>
      </c>
      <c r="E4" s="68"/>
      <c r="F4" s="68"/>
      <c r="G4" s="68"/>
      <c r="H4" s="68"/>
      <c r="I4" s="68"/>
      <c r="J4" s="68"/>
      <c r="K4" s="69"/>
    </row>
    <row r="5" spans="1:25" ht="30" customHeight="1" x14ac:dyDescent="0.2">
      <c r="A5" s="65" t="s">
        <v>334</v>
      </c>
      <c r="B5" s="66"/>
      <c r="C5" s="66"/>
      <c r="D5" s="67">
        <f>VLOOKUP($D$2,福祉!$B$2:$AG$25,4,FALSE)</f>
        <v>46290</v>
      </c>
      <c r="E5" s="68"/>
      <c r="F5" s="68"/>
      <c r="G5" s="68"/>
      <c r="H5" s="68"/>
      <c r="I5" s="68"/>
      <c r="J5" s="68"/>
      <c r="K5" s="69"/>
    </row>
    <row r="6" spans="1:25" ht="30" customHeight="1" x14ac:dyDescent="0.2">
      <c r="A6" s="65" t="s">
        <v>335</v>
      </c>
      <c r="B6" s="66"/>
      <c r="C6" s="66"/>
      <c r="D6" s="67" t="str">
        <f>VLOOKUP($D$2,福祉!$B$2:$AG$25,5,FALSE)</f>
        <v>特定非営利活動法人　ふれあい</v>
      </c>
      <c r="E6" s="68"/>
      <c r="F6" s="68"/>
      <c r="G6" s="68"/>
      <c r="H6" s="68"/>
      <c r="I6" s="68"/>
      <c r="J6" s="68"/>
      <c r="K6" s="69"/>
    </row>
    <row r="7" spans="1:25" ht="30" customHeight="1" x14ac:dyDescent="0.2">
      <c r="A7" s="65" t="s">
        <v>336</v>
      </c>
      <c r="B7" s="66"/>
      <c r="C7" s="66"/>
      <c r="D7" s="67" t="str">
        <f>VLOOKUP($D$2,福祉!$B$2:$AG$25,6,FALSE)</f>
        <v>越前谷　あつ子</v>
      </c>
      <c r="E7" s="68"/>
      <c r="F7" s="68"/>
      <c r="G7" s="68"/>
      <c r="H7" s="68"/>
      <c r="I7" s="68"/>
      <c r="J7" s="68"/>
      <c r="K7" s="69"/>
    </row>
    <row r="8" spans="1:25" ht="30" customHeight="1" x14ac:dyDescent="0.2">
      <c r="A8" s="65" t="s">
        <v>337</v>
      </c>
      <c r="B8" s="66"/>
      <c r="C8" s="66"/>
      <c r="D8" s="67" t="str">
        <f>VLOOKUP($D$2,福祉!$B$2:$AG$25,8,FALSE)</f>
        <v>苫小牧市新富町２丁目６番２１号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NPOふれあい</v>
      </c>
      <c r="E12" s="85"/>
      <c r="F12" s="85" t="str">
        <f>IFERROR(VLOOKUP($D$2,福祉!$B$2:$AG$897,10,FALSE),0)</f>
        <v>苫小牧市新富町２丁目６番２１号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苫小牧市</v>
      </c>
      <c r="E14" s="80"/>
      <c r="F14" s="80"/>
      <c r="G14" s="80"/>
      <c r="H14" s="80"/>
      <c r="I14" s="80"/>
      <c r="J14" s="80"/>
      <c r="K14" s="81"/>
      <c r="O14" s="55"/>
      <c r="X14" s="55"/>
      <c r="Y14" s="90"/>
    </row>
    <row r="15" spans="1:25" ht="30" customHeight="1" x14ac:dyDescent="0.2">
      <c r="A15" s="77" t="s">
        <v>345</v>
      </c>
      <c r="B15" s="78"/>
      <c r="C15" s="78"/>
      <c r="D15" s="91" t="str">
        <f>VLOOKUP($D$2,福祉!$B$2:$AG$25,16,FALSE)</f>
        <v>【新】イロニホ</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NPOふれあい</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0</v>
      </c>
      <c r="I23" s="119">
        <f>IFERROR(VLOOKUP($D$2,福祉!$B$2:$AG$897,27,FALSE),0)</f>
        <v>2</v>
      </c>
      <c r="J23" s="119">
        <f>IFERROR(VLOOKUP($D$2,福祉!$B$2:$AG$897,29,FALSE),0)</f>
        <v>0</v>
      </c>
      <c r="K23" s="120">
        <f>SUM(E23:J23)</f>
        <v>3</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1</v>
      </c>
      <c r="J24" s="124"/>
      <c r="K24" s="125">
        <f>SUM(E24:I24)</f>
        <v>1</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0</v>
      </c>
      <c r="I35" s="119">
        <f t="shared" si="0"/>
        <v>2</v>
      </c>
      <c r="J35" s="119">
        <f t="shared" si="0"/>
        <v>0</v>
      </c>
      <c r="K35" s="120">
        <f>SUM(E35:J35)</f>
        <v>3</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1</v>
      </c>
      <c r="J36" s="147"/>
      <c r="K36" s="148">
        <f>SUM(E36:I36)</f>
        <v>1</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FfdFCbBVsqiRTk/hVOpKlrCUpEaKfPNHCHXB6x0+woXJgMQJ+LwSd4OCbNgzKTDTl8AiOw3wcH1Ok64lrcDtRA==" saltValue="L0E09FbUKpvISTAJrti+K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46AE70D-870A-4527-B936-3E4A3CD88352}"/>
    <dataValidation type="list" allowBlank="1" showInputMessage="1" sqref="A22:B33" xr:uid="{A5B75B1D-A69B-40DA-9600-3B163F957290}">
      <formula1>"交通空白地有償運送,福祉有償運送"</formula1>
    </dataValidation>
    <dataValidation type="list" allowBlank="1" showInputMessage="1" sqref="D10" xr:uid="{39AEF19C-1E6F-49D0-8B12-6B55AFA79B7B}">
      <formula1>"○"</formula1>
    </dataValidation>
  </dataValidations>
  <hyperlinks>
    <hyperlink ref="O1:Q1" location="福祉!A1" display="目次" xr:uid="{A83E5EB2-81ED-4DB6-AC8C-D9D74E5D99BA}"/>
  </hyperlinks>
  <pageMargins left="0.25" right="0.25" top="0.75" bottom="0.75" header="0.3" footer="0.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2FF4C-D6C3-4510-A663-AAD4A4ECB131}">
  <sheetPr codeName="Sheet83">
    <tabColor theme="9" tint="0.39997558519241921"/>
  </sheetPr>
  <dimension ref="A1:Y38"/>
  <sheetViews>
    <sheetView view="pageBreakPreview"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366</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45012</v>
      </c>
      <c r="E4" s="68"/>
      <c r="F4" s="68"/>
      <c r="G4" s="68"/>
      <c r="H4" s="68"/>
      <c r="I4" s="68"/>
      <c r="J4" s="68"/>
      <c r="K4" s="69"/>
    </row>
    <row r="5" spans="1:25" ht="30" customHeight="1" x14ac:dyDescent="0.2">
      <c r="A5" s="65" t="s">
        <v>334</v>
      </c>
      <c r="B5" s="66"/>
      <c r="C5" s="66"/>
      <c r="D5" s="67">
        <f>VLOOKUP($D$2,福祉!$B$2:$AG$25,4,FALSE)</f>
        <v>46112</v>
      </c>
      <c r="E5" s="68"/>
      <c r="F5" s="68"/>
      <c r="G5" s="68"/>
      <c r="H5" s="68"/>
      <c r="I5" s="68"/>
      <c r="J5" s="68"/>
      <c r="K5" s="69"/>
    </row>
    <row r="6" spans="1:25" ht="30" customHeight="1" x14ac:dyDescent="0.2">
      <c r="A6" s="65" t="s">
        <v>335</v>
      </c>
      <c r="B6" s="66"/>
      <c r="C6" s="66"/>
      <c r="D6" s="67" t="str">
        <f>VLOOKUP($D$2,福祉!$B$2:$AG$25,5,FALSE)</f>
        <v>社会福祉法人　様似町社会福祉協議会</v>
      </c>
      <c r="E6" s="68"/>
      <c r="F6" s="68"/>
      <c r="G6" s="68"/>
      <c r="H6" s="68"/>
      <c r="I6" s="68"/>
      <c r="J6" s="68"/>
      <c r="K6" s="69"/>
    </row>
    <row r="7" spans="1:25" ht="30" customHeight="1" x14ac:dyDescent="0.2">
      <c r="A7" s="65" t="s">
        <v>336</v>
      </c>
      <c r="B7" s="66"/>
      <c r="C7" s="66"/>
      <c r="D7" s="67" t="str">
        <f>VLOOKUP($D$2,福祉!$B$2:$AG$25,6,FALSE)</f>
        <v>小野　哲弘</v>
      </c>
      <c r="E7" s="68"/>
      <c r="F7" s="68"/>
      <c r="G7" s="68"/>
      <c r="H7" s="68"/>
      <c r="I7" s="68"/>
      <c r="J7" s="68"/>
      <c r="K7" s="69"/>
    </row>
    <row r="8" spans="1:25" ht="30" customHeight="1" x14ac:dyDescent="0.2">
      <c r="A8" s="65" t="s">
        <v>337</v>
      </c>
      <c r="B8" s="66"/>
      <c r="C8" s="66"/>
      <c r="D8" s="67" t="str">
        <f>VLOOKUP($D$2,福祉!$B$2:$AG$25,8,FALSE)</f>
        <v>様似郡様似町大通２丁目９８番地２</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85" t="str">
        <f>IFERROR(VLOOKUP($D$2,福祉!$B$2:$AG$897,9,FALSE),0)</f>
        <v>社会福祉法人　様似町社会福祉協議会</v>
      </c>
      <c r="E12" s="85"/>
      <c r="F12" s="85" t="str">
        <f>IFERROR(VLOOKUP($D$2,福祉!$B$2:$AG$897,10,FALSE),0)</f>
        <v>様似郡様似町大通２丁目９８番地２</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様似町</v>
      </c>
      <c r="E14" s="80"/>
      <c r="F14" s="80"/>
      <c r="G14" s="80"/>
      <c r="H14" s="80"/>
      <c r="I14" s="80"/>
      <c r="J14" s="80"/>
      <c r="K14" s="81"/>
      <c r="O14" s="55"/>
      <c r="X14" s="55"/>
      <c r="Y14" s="90"/>
    </row>
    <row r="15" spans="1:25" ht="30" customHeight="1" x14ac:dyDescent="0.2">
      <c r="A15" s="77" t="s">
        <v>345</v>
      </c>
      <c r="B15" s="78"/>
      <c r="C15" s="78"/>
      <c r="D15" s="91" t="str">
        <f>VLOOKUP($D$2,福祉!$B$2:$AG$25,16,FALSE)</f>
        <v>イニホト</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様似町社会福祉協議会</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2</v>
      </c>
      <c r="H23" s="119">
        <f>IFERROR(VLOOKUP($D$2,福祉!$B$2:$AG$897,25,FALSE),0)</f>
        <v>0</v>
      </c>
      <c r="I23" s="119">
        <f>IFERROR(VLOOKUP($D$2,福祉!$B$2:$AG$897,27,FALSE),0)</f>
        <v>8</v>
      </c>
      <c r="J23" s="119">
        <f>IFERROR(VLOOKUP($D$2,福祉!$B$2:$AG$897,29,FALSE),0)</f>
        <v>0</v>
      </c>
      <c r="K23" s="120">
        <f>SUM(E23:J23)</f>
        <v>11</v>
      </c>
    </row>
    <row r="24" spans="1:24" s="126" customFormat="1" ht="19.8" x14ac:dyDescent="0.2">
      <c r="A24" s="115"/>
      <c r="B24" s="116"/>
      <c r="C24" s="121"/>
      <c r="D24" s="122"/>
      <c r="E24" s="123">
        <f>IFERROR(VLOOKUP($D$2,福祉!$B$2:$AG$897,20,FALSE),0)</f>
        <v>0</v>
      </c>
      <c r="F24" s="123">
        <f>IFERROR(VLOOKUP($D$2,福祉!$B$2:$AG$897,22,FALSE),0)</f>
        <v>1</v>
      </c>
      <c r="G24" s="123">
        <f>IFERROR(VLOOKUP($D$2,福祉!$B$2:$AG$897,24,FALSE),0)</f>
        <v>0</v>
      </c>
      <c r="H24" s="123">
        <f>IFERROR(VLOOKUP($D$2,福祉!$B$2:$AG$897,26,FALSE),0)</f>
        <v>0</v>
      </c>
      <c r="I24" s="123">
        <f>IFERROR(VLOOKUP($D$2,福祉!$B$2:$AG$2897,28,FALSE),0)</f>
        <v>7</v>
      </c>
      <c r="J24" s="124"/>
      <c r="K24" s="125">
        <f>SUM(E24:I24)</f>
        <v>8</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2</v>
      </c>
      <c r="H35" s="119">
        <f t="shared" si="0"/>
        <v>0</v>
      </c>
      <c r="I35" s="119">
        <f t="shared" si="0"/>
        <v>8</v>
      </c>
      <c r="J35" s="119">
        <f t="shared" si="0"/>
        <v>0</v>
      </c>
      <c r="K35" s="120">
        <f>SUM(E35:J35)</f>
        <v>11</v>
      </c>
    </row>
    <row r="36" spans="1:11" ht="20.399999999999999" thickBot="1" x14ac:dyDescent="0.25">
      <c r="A36" s="142"/>
      <c r="B36" s="143"/>
      <c r="C36" s="144"/>
      <c r="D36" s="145"/>
      <c r="E36" s="146">
        <f>SUM(E24+E27+E30+E33)</f>
        <v>0</v>
      </c>
      <c r="F36" s="146">
        <f>SUM(F24+F27+F30+F33)</f>
        <v>1</v>
      </c>
      <c r="G36" s="146">
        <f>SUM(G24+G27+G30+G33)</f>
        <v>0</v>
      </c>
      <c r="H36" s="146">
        <f>SUM(H24+H27+H30+H33)</f>
        <v>0</v>
      </c>
      <c r="I36" s="146">
        <f>SUM(I24+I27+I30+I33)</f>
        <v>7</v>
      </c>
      <c r="J36" s="147"/>
      <c r="K36" s="148">
        <f>SUM(E36:I36)</f>
        <v>8</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Wxb+7DMQdGtfi0vFI9a2OSnxIsrJ8hyrjl29qZ3vcG6qGgDlHatol9OPq2+/eN6Wg9CGov8bA2v3o1HIVms7BA==" saltValue="4V1wJQzHfEDufnPQulXYa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4913521-ED22-48D2-8655-BEB6276DC44A}">
      <formula1>"○"</formula1>
    </dataValidation>
    <dataValidation type="list" allowBlank="1" showInputMessage="1" sqref="A22:B33" xr:uid="{FB425A01-A983-4445-A525-EF39C645B5F1}">
      <formula1>"交通空白地有償運送,福祉有償運送"</formula1>
    </dataValidation>
    <dataValidation allowBlank="1" showInputMessage="1" sqref="D2:K2" xr:uid="{C9791271-77F6-4667-AC38-BC0B655F89BA}"/>
  </dataValidations>
  <hyperlinks>
    <hyperlink ref="O1:Q1" location="福祉!A1" display="目次" xr:uid="{8048A7D3-50C7-4931-838E-157C21A2C66F}"/>
  </hyperlinks>
  <pageMargins left="0.25" right="0.25" top="0.75" bottom="0.75" header="0.3" footer="0.3"/>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E2DE0-D54C-423B-9911-164C1A63FDFF}">
  <sheetPr codeName="Sheet8">
    <tabColor theme="9" tint="0.39997558519241921"/>
  </sheetPr>
  <dimension ref="A1:Y38"/>
  <sheetViews>
    <sheetView view="pageBreakPreview" topLeftCell="A4" zoomScale="70" zoomScaleNormal="100" zoomScaleSheetLayoutView="70" workbookViewId="0">
      <selection activeCell="E27" sqref="E27"/>
    </sheetView>
  </sheetViews>
  <sheetFormatPr defaultColWidth="9" defaultRowHeight="18" x14ac:dyDescent="0.2"/>
  <cols>
    <col min="1" max="11" width="9.6640625" style="49" customWidth="1"/>
    <col min="12" max="16384" width="9" style="49"/>
  </cols>
  <sheetData>
    <row r="1" spans="1:25" ht="30" customHeight="1" thickBot="1" x14ac:dyDescent="0.25">
      <c r="A1" s="56" t="s">
        <v>328</v>
      </c>
      <c r="B1" s="57"/>
      <c r="C1" s="57"/>
      <c r="D1" s="57"/>
      <c r="E1" s="57"/>
      <c r="F1" s="57"/>
      <c r="G1" s="57"/>
      <c r="H1" s="57"/>
      <c r="I1" s="57"/>
      <c r="J1" s="57"/>
      <c r="K1" s="57"/>
      <c r="O1" s="58" t="s">
        <v>329</v>
      </c>
      <c r="P1" s="59"/>
      <c r="Q1" s="59"/>
    </row>
    <row r="2" spans="1:25" ht="30" customHeight="1" x14ac:dyDescent="0.2">
      <c r="A2" s="60" t="s">
        <v>330</v>
      </c>
      <c r="B2" s="61"/>
      <c r="C2" s="61"/>
      <c r="D2" s="62" t="s">
        <v>367</v>
      </c>
      <c r="E2" s="63"/>
      <c r="F2" s="63"/>
      <c r="G2" s="63"/>
      <c r="H2" s="63"/>
      <c r="I2" s="63"/>
      <c r="J2" s="63"/>
      <c r="K2" s="64"/>
    </row>
    <row r="3" spans="1:25" ht="30" customHeight="1" x14ac:dyDescent="0.2">
      <c r="A3" s="65" t="s">
        <v>332</v>
      </c>
      <c r="B3" s="66"/>
      <c r="C3" s="66"/>
      <c r="D3" s="67">
        <f>VLOOKUP($D$2,福祉!$B$2:$AG$25,2,FALSE)</f>
        <v>38991</v>
      </c>
      <c r="E3" s="68"/>
      <c r="F3" s="68"/>
      <c r="G3" s="68"/>
      <c r="H3" s="68"/>
      <c r="I3" s="68"/>
      <c r="J3" s="68"/>
      <c r="K3" s="69"/>
    </row>
    <row r="4" spans="1:25" ht="30" customHeight="1" x14ac:dyDescent="0.2">
      <c r="A4" s="65" t="s">
        <v>333</v>
      </c>
      <c r="B4" s="66"/>
      <c r="C4" s="66"/>
      <c r="D4" s="67">
        <f>VLOOKUP($D$2,福祉!$B$2:$AG$25,3,FALSE)</f>
        <v>45195</v>
      </c>
      <c r="E4" s="68"/>
      <c r="F4" s="68"/>
      <c r="G4" s="68"/>
      <c r="H4" s="68"/>
      <c r="I4" s="68"/>
      <c r="J4" s="68"/>
      <c r="K4" s="69"/>
    </row>
    <row r="5" spans="1:25" ht="30" customHeight="1" x14ac:dyDescent="0.2">
      <c r="A5" s="65" t="s">
        <v>334</v>
      </c>
      <c r="B5" s="66"/>
      <c r="C5" s="66"/>
      <c r="D5" s="67">
        <f>VLOOKUP($D$2,福祉!$B$2:$AG$25,4,FALSE)</f>
        <v>46290</v>
      </c>
      <c r="E5" s="68"/>
      <c r="F5" s="68"/>
      <c r="G5" s="68"/>
      <c r="H5" s="68"/>
      <c r="I5" s="68"/>
      <c r="J5" s="68"/>
      <c r="K5" s="69"/>
    </row>
    <row r="6" spans="1:25" ht="30" customHeight="1" x14ac:dyDescent="0.2">
      <c r="A6" s="65" t="s">
        <v>335</v>
      </c>
      <c r="B6" s="66"/>
      <c r="C6" s="66"/>
      <c r="D6" s="67" t="str">
        <f>VLOOKUP($D$2,福祉!$B$2:$AG$25,5,FALSE)</f>
        <v>社会福祉法人　ビバランド</v>
      </c>
      <c r="E6" s="68"/>
      <c r="F6" s="68"/>
      <c r="G6" s="68"/>
      <c r="H6" s="68"/>
      <c r="I6" s="68"/>
      <c r="J6" s="68"/>
      <c r="K6" s="69"/>
    </row>
    <row r="7" spans="1:25" ht="30" customHeight="1" x14ac:dyDescent="0.2">
      <c r="A7" s="65" t="s">
        <v>336</v>
      </c>
      <c r="B7" s="66"/>
      <c r="C7" s="66"/>
      <c r="D7" s="67" t="str">
        <f>VLOOKUP($D$2,福祉!$B$2:$AG$25,6,FALSE)</f>
        <v>森岡　公彦</v>
      </c>
      <c r="E7" s="68"/>
      <c r="F7" s="68"/>
      <c r="G7" s="68"/>
      <c r="H7" s="68"/>
      <c r="I7" s="68"/>
      <c r="J7" s="68"/>
      <c r="K7" s="69"/>
    </row>
    <row r="8" spans="1:25" ht="30" customHeight="1" x14ac:dyDescent="0.2">
      <c r="A8" s="65" t="s">
        <v>337</v>
      </c>
      <c r="B8" s="66"/>
      <c r="C8" s="66"/>
      <c r="D8" s="67" t="str">
        <f>VLOOKUP($D$2,福祉!$B$2:$AG$25,8,FALSE)</f>
        <v>苫小牧市新開町４丁目７番１６号</v>
      </c>
      <c r="E8" s="68"/>
      <c r="F8" s="68"/>
      <c r="G8" s="68"/>
      <c r="H8" s="68"/>
      <c r="I8" s="68"/>
      <c r="J8" s="68"/>
      <c r="K8" s="69"/>
    </row>
    <row r="9" spans="1:25" ht="30" customHeight="1" x14ac:dyDescent="0.2">
      <c r="A9" s="70" t="s">
        <v>338</v>
      </c>
      <c r="B9" s="71"/>
      <c r="C9" s="72"/>
      <c r="D9" s="73" t="s">
        <v>339</v>
      </c>
      <c r="E9" s="68"/>
      <c r="F9" s="68"/>
      <c r="G9" s="68"/>
      <c r="H9" s="68"/>
      <c r="I9" s="68"/>
      <c r="J9" s="68"/>
      <c r="K9" s="69"/>
    </row>
    <row r="10" spans="1:25" ht="30" customHeight="1" x14ac:dyDescent="0.2">
      <c r="A10" s="74"/>
      <c r="B10" s="75"/>
      <c r="C10" s="76"/>
      <c r="D10" s="73" t="s">
        <v>340</v>
      </c>
      <c r="E10" s="68"/>
      <c r="F10" s="68"/>
      <c r="G10" s="68"/>
      <c r="H10" s="68"/>
      <c r="I10" s="68"/>
      <c r="J10" s="68"/>
      <c r="K10" s="69"/>
    </row>
    <row r="11" spans="1:25" ht="30" customHeight="1" x14ac:dyDescent="0.2">
      <c r="A11" s="77" t="s">
        <v>341</v>
      </c>
      <c r="B11" s="78"/>
      <c r="C11" s="79"/>
      <c r="D11" s="80" t="s">
        <v>342</v>
      </c>
      <c r="E11" s="80"/>
      <c r="F11" s="80" t="s">
        <v>343</v>
      </c>
      <c r="G11" s="80"/>
      <c r="H11" s="80" t="s">
        <v>342</v>
      </c>
      <c r="I11" s="80"/>
      <c r="J11" s="80" t="s">
        <v>343</v>
      </c>
      <c r="K11" s="81"/>
    </row>
    <row r="12" spans="1:25" ht="50.1" customHeight="1" x14ac:dyDescent="0.2">
      <c r="A12" s="82"/>
      <c r="B12" s="83"/>
      <c r="C12" s="84"/>
      <c r="D12" s="150" t="str">
        <f>IFERROR(VLOOKUP($D$2,福祉!$B$2:$AG$897,9,FALSE),0)</f>
        <v>社会福祉法人　ビバランド　障がい者生活介護事業所ふれあいらんど</v>
      </c>
      <c r="E12" s="150"/>
      <c r="F12" s="85" t="str">
        <f>IFERROR(VLOOKUP($D$2,福祉!$B$2:$AG$897,10,FALSE),0)</f>
        <v>苫小牧市新開町４丁目７番１６号</v>
      </c>
      <c r="G12" s="85"/>
      <c r="H12" s="85">
        <f>IFERROR(VLOOKUP($D$2&amp;"-3",福祉!$B$2:$AG$897,9,FALSE),0)</f>
        <v>0</v>
      </c>
      <c r="I12" s="85"/>
      <c r="J12" s="85">
        <f>IFERROR(VLOOKUP($D$2&amp;"-3",福祉!$B$2:$AG$897,10,FALSE),0)</f>
        <v>0</v>
      </c>
      <c r="K12" s="85"/>
    </row>
    <row r="13" spans="1:25" ht="50.1" customHeight="1" x14ac:dyDescent="0.2">
      <c r="A13" s="86"/>
      <c r="B13" s="87"/>
      <c r="C13" s="88"/>
      <c r="D13" s="85">
        <f>IFERROR(VLOOKUP($D$2&amp;"-2",福祉!$B$2:$AG$897,9,FALSE),0)</f>
        <v>0</v>
      </c>
      <c r="E13" s="85"/>
      <c r="F13" s="85">
        <f>IFERROR(VLOOKUP($D$2&amp;"-2",福祉!$B$2:$AG$897,10,FALSE),0)</f>
        <v>0</v>
      </c>
      <c r="G13" s="85"/>
      <c r="H13" s="85">
        <f>IFERROR(VLOOKUP($D$2&amp;"-4",福祉!$B$2:$AG$897,9,FALSE),0)</f>
        <v>0</v>
      </c>
      <c r="I13" s="85"/>
      <c r="J13" s="85">
        <f>IFERROR(VLOOKUP($D$2&amp;"-4",福祉!$B$2:$AG$897,10,FALSE),0)</f>
        <v>0</v>
      </c>
      <c r="K13" s="85"/>
      <c r="O13" s="55"/>
      <c r="X13" s="55"/>
    </row>
    <row r="14" spans="1:25" ht="30" customHeight="1" x14ac:dyDescent="0.2">
      <c r="A14" s="77" t="s">
        <v>344</v>
      </c>
      <c r="B14" s="78"/>
      <c r="C14" s="78"/>
      <c r="D14" s="80" t="str">
        <f>VLOOKUP($D$2,福祉!$B$2:$AG$25,15,FALSE)</f>
        <v>苫小牧市</v>
      </c>
      <c r="E14" s="80"/>
      <c r="F14" s="80"/>
      <c r="G14" s="80"/>
      <c r="H14" s="80"/>
      <c r="I14" s="80"/>
      <c r="J14" s="80"/>
      <c r="K14" s="81"/>
      <c r="O14" s="55"/>
      <c r="X14" s="55"/>
      <c r="Y14" s="90"/>
    </row>
    <row r="15" spans="1:25" ht="30" customHeight="1" x14ac:dyDescent="0.2">
      <c r="A15" s="77" t="s">
        <v>345</v>
      </c>
      <c r="B15" s="78"/>
      <c r="C15" s="78"/>
      <c r="D15" s="91" t="str">
        <f>VLOOKUP($D$2,福祉!$B$2:$AG$25,16,FALSE)</f>
        <v>【新】ハ</v>
      </c>
      <c r="E15" s="91"/>
      <c r="F15" s="91"/>
      <c r="G15" s="91"/>
      <c r="H15" s="80"/>
      <c r="I15" s="80"/>
      <c r="J15" s="80"/>
      <c r="K15" s="81"/>
      <c r="O15" s="55"/>
      <c r="X15" s="55"/>
    </row>
    <row r="16" spans="1:25" ht="30" customHeight="1" x14ac:dyDescent="0.2">
      <c r="A16" s="92" t="s">
        <v>346</v>
      </c>
      <c r="B16" s="93"/>
      <c r="C16" s="93"/>
      <c r="D16" s="80" t="s">
        <v>347</v>
      </c>
      <c r="E16" s="80"/>
      <c r="F16" s="80" t="s">
        <v>348</v>
      </c>
      <c r="G16" s="80"/>
      <c r="H16" s="80" t="s">
        <v>347</v>
      </c>
      <c r="I16" s="80"/>
      <c r="J16" s="80" t="s">
        <v>348</v>
      </c>
      <c r="K16" s="81"/>
      <c r="O16" s="55"/>
      <c r="P16" s="90"/>
      <c r="X16" s="55"/>
    </row>
    <row r="17" spans="1:24" ht="30" customHeight="1" x14ac:dyDescent="0.2">
      <c r="A17" s="92"/>
      <c r="B17" s="93"/>
      <c r="C17" s="93"/>
      <c r="D17" s="94"/>
      <c r="E17" s="95"/>
      <c r="F17" s="94"/>
      <c r="G17" s="95"/>
      <c r="H17" s="94"/>
      <c r="I17" s="95"/>
      <c r="J17" s="94"/>
      <c r="K17" s="96"/>
      <c r="O17" s="55"/>
      <c r="X17" s="55"/>
    </row>
    <row r="18" spans="1:24" ht="50.1" customHeight="1" x14ac:dyDescent="0.2">
      <c r="A18" s="65" t="s">
        <v>349</v>
      </c>
      <c r="B18" s="66"/>
      <c r="C18" s="66"/>
      <c r="D18" s="80"/>
      <c r="E18" s="80"/>
      <c r="F18" s="80"/>
      <c r="G18" s="80"/>
      <c r="H18" s="80"/>
      <c r="I18" s="80"/>
      <c r="J18" s="80"/>
      <c r="K18" s="81"/>
      <c r="O18" s="55"/>
      <c r="X18" s="55"/>
    </row>
    <row r="19" spans="1:24" ht="19.8" x14ac:dyDescent="0.2">
      <c r="A19" s="70" t="s">
        <v>338</v>
      </c>
      <c r="B19" s="72"/>
      <c r="C19" s="97" t="s">
        <v>350</v>
      </c>
      <c r="D19" s="72"/>
      <c r="E19" s="80" t="s">
        <v>351</v>
      </c>
      <c r="F19" s="98"/>
      <c r="G19" s="98"/>
      <c r="H19" s="98"/>
      <c r="I19" s="98"/>
      <c r="J19" s="98"/>
      <c r="K19" s="99"/>
      <c r="O19" s="55"/>
      <c r="X19" s="55"/>
    </row>
    <row r="20" spans="1:24" ht="19.8" x14ac:dyDescent="0.2">
      <c r="A20" s="74"/>
      <c r="B20" s="76"/>
      <c r="C20" s="100"/>
      <c r="D20" s="76"/>
      <c r="E20" s="101" t="s">
        <v>352</v>
      </c>
      <c r="F20" s="101" t="s">
        <v>353</v>
      </c>
      <c r="G20" s="101" t="s">
        <v>354</v>
      </c>
      <c r="H20" s="102" t="s">
        <v>355</v>
      </c>
      <c r="I20" s="101" t="s">
        <v>356</v>
      </c>
      <c r="J20" s="101" t="s">
        <v>357</v>
      </c>
      <c r="K20" s="103" t="s">
        <v>358</v>
      </c>
    </row>
    <row r="21" spans="1:24" ht="14.25" customHeight="1" x14ac:dyDescent="0.2">
      <c r="A21" s="104"/>
      <c r="B21" s="105"/>
      <c r="C21" s="106"/>
      <c r="D21" s="105"/>
      <c r="E21" s="107" t="s">
        <v>359</v>
      </c>
      <c r="F21" s="107" t="s">
        <v>359</v>
      </c>
      <c r="G21" s="107" t="s">
        <v>359</v>
      </c>
      <c r="H21" s="107" t="s">
        <v>359</v>
      </c>
      <c r="I21" s="107" t="s">
        <v>359</v>
      </c>
      <c r="J21" s="107"/>
      <c r="K21" s="108" t="s">
        <v>359</v>
      </c>
    </row>
    <row r="22" spans="1:24" ht="14.25" customHeight="1" x14ac:dyDescent="0.2">
      <c r="A22" s="109" t="s">
        <v>360</v>
      </c>
      <c r="B22" s="110"/>
      <c r="C22" s="111" t="str">
        <f>D12</f>
        <v>社会福祉法人　ビバランド　障がい者生活介護事業所ふれあいらんど</v>
      </c>
      <c r="D22" s="112"/>
      <c r="E22" s="113"/>
      <c r="F22" s="113"/>
      <c r="G22" s="113"/>
      <c r="H22" s="113"/>
      <c r="I22" s="113"/>
      <c r="J22" s="113"/>
      <c r="K22" s="114"/>
    </row>
    <row r="23" spans="1:24" ht="19.8" x14ac:dyDescent="0.2">
      <c r="A23" s="115"/>
      <c r="B23" s="116"/>
      <c r="C23" s="117"/>
      <c r="D23" s="118"/>
      <c r="E23" s="119">
        <f>IFERROR(VLOOKUP($D$2,福祉!$B$2:$AG$897,19,FALSE),0)</f>
        <v>0</v>
      </c>
      <c r="F23" s="119">
        <f>IFERROR(VLOOKUP($D$2,福祉!$B$2:$AG$897,21,FALSE),0)</f>
        <v>1</v>
      </c>
      <c r="G23" s="119">
        <f>IFERROR(VLOOKUP($D$2,福祉!$B$2:$AG$897,23,FALSE),0)</f>
        <v>0</v>
      </c>
      <c r="H23" s="119">
        <f>IFERROR(VLOOKUP($D$2,福祉!$B$2:$AG$897,25,FALSE),0)</f>
        <v>0</v>
      </c>
      <c r="I23" s="119">
        <f>IFERROR(VLOOKUP($D$2,福祉!$B$2:$AG$897,27,FALSE),0)</f>
        <v>5</v>
      </c>
      <c r="J23" s="119">
        <f>IFERROR(VLOOKUP($D$2,福祉!$B$2:$AG$897,29,FALSE),0)</f>
        <v>0</v>
      </c>
      <c r="K23" s="120">
        <f>SUM(E23:J23)</f>
        <v>6</v>
      </c>
    </row>
    <row r="24" spans="1:24" s="126" customFormat="1" ht="19.8" x14ac:dyDescent="0.2">
      <c r="A24" s="115"/>
      <c r="B24" s="116"/>
      <c r="C24" s="121"/>
      <c r="D24" s="122"/>
      <c r="E24" s="123">
        <f>IFERROR(VLOOKUP($D$2,福祉!$B$2:$AG$897,20,FALSE),0)</f>
        <v>0</v>
      </c>
      <c r="F24" s="123">
        <f>IFERROR(VLOOKUP($D$2,福祉!$B$2:$AG$897,22,FALSE),0)</f>
        <v>0</v>
      </c>
      <c r="G24" s="123">
        <f>IFERROR(VLOOKUP($D$2,福祉!$B$2:$AG$897,24,FALSE),0)</f>
        <v>0</v>
      </c>
      <c r="H24" s="123">
        <f>IFERROR(VLOOKUP($D$2,福祉!$B$2:$AG$897,26,FALSE),0)</f>
        <v>0</v>
      </c>
      <c r="I24" s="123">
        <f>IFERROR(VLOOKUP($D$2,福祉!$B$2:$AG$2897,28,FALSE),0)</f>
        <v>0</v>
      </c>
      <c r="J24" s="124"/>
      <c r="K24" s="125">
        <f>SUM(E24:I24)</f>
        <v>0</v>
      </c>
    </row>
    <row r="25" spans="1:24" ht="19.8" x14ac:dyDescent="0.2">
      <c r="A25" s="115"/>
      <c r="B25" s="116"/>
      <c r="C25" s="111">
        <f>D13</f>
        <v>0</v>
      </c>
      <c r="D25" s="112"/>
      <c r="E25" s="113"/>
      <c r="F25" s="113"/>
      <c r="G25" s="113"/>
      <c r="H25" s="113"/>
      <c r="I25" s="113"/>
      <c r="J25" s="113"/>
      <c r="K25" s="114"/>
    </row>
    <row r="26" spans="1:24" ht="19.8" x14ac:dyDescent="0.2">
      <c r="A26" s="115"/>
      <c r="B26" s="116"/>
      <c r="C26" s="117"/>
      <c r="D26" s="118"/>
      <c r="E26" s="119">
        <f>IFERROR(VLOOKUP($D$2&amp;"-2",福祉!$B$2:$AG$897,19,FALSE),0)</f>
        <v>0</v>
      </c>
      <c r="F26" s="119">
        <f>IFERROR(VLOOKUP($D$2&amp;"-2",福祉!$B$2:$AG$897,21,FALSE),0)</f>
        <v>0</v>
      </c>
      <c r="G26" s="119">
        <f>IFERROR(VLOOKUP($D$2&amp;"-2",福祉!$B$2:$AG$897,23,FALSE),0)</f>
        <v>0</v>
      </c>
      <c r="H26" s="119">
        <f>IFERROR(VLOOKUP($D$2&amp;"-2",福祉!$B$2:$AG$897,25,FALSE),0)</f>
        <v>0</v>
      </c>
      <c r="I26" s="119">
        <f>IFERROR(VLOOKUP($D$2&amp;"-2",福祉!$B$2:$AG$897,27,FALSE),0)</f>
        <v>0</v>
      </c>
      <c r="J26" s="119">
        <f>IFERROR(VLOOKUP($D$2&amp;"-2",福祉!$B$2:$AG$897,29,FALSE),0)</f>
        <v>0</v>
      </c>
      <c r="K26" s="120">
        <f>SUM(E26:J26)</f>
        <v>0</v>
      </c>
    </row>
    <row r="27" spans="1:24" s="126" customFormat="1" ht="19.8" x14ac:dyDescent="0.2">
      <c r="A27" s="127"/>
      <c r="B27" s="128"/>
      <c r="C27" s="121"/>
      <c r="D27" s="122"/>
      <c r="E27" s="123">
        <f>IFERROR(VLOOKUP($D$2&amp;"-2",福祉!$B$2:$AG$897,20,FALSE),0)</f>
        <v>0</v>
      </c>
      <c r="F27" s="123">
        <f>IFERROR(VLOOKUP($D$2&amp;"-2",福祉!$B$2:$AG$897,22,FALSE),0)</f>
        <v>0</v>
      </c>
      <c r="G27" s="123">
        <f>IFERROR(VLOOKUP($D$2&amp;"-2",福祉!$B$2:$AG$897,24,FALSE),0)</f>
        <v>0</v>
      </c>
      <c r="H27" s="123">
        <f>IFERROR(VLOOKUP($D$2&amp;"-2",福祉!$B$2:$AG$897,26,FALSE),0)</f>
        <v>0</v>
      </c>
      <c r="I27" s="123">
        <f>IFERROR(VLOOKUP($D$2&amp;"-2",福祉!$B$2:$AG$2897,28,FALSE),0)</f>
        <v>0</v>
      </c>
      <c r="J27" s="124"/>
      <c r="K27" s="125">
        <f>SUM(E27:I27)</f>
        <v>0</v>
      </c>
    </row>
    <row r="28" spans="1:24" ht="19.8" x14ac:dyDescent="0.2">
      <c r="A28" s="129"/>
      <c r="B28" s="95"/>
      <c r="C28" s="111">
        <f>H12</f>
        <v>0</v>
      </c>
      <c r="D28" s="112"/>
      <c r="E28" s="113"/>
      <c r="F28" s="113"/>
      <c r="G28" s="113"/>
      <c r="H28" s="113"/>
      <c r="I28" s="113"/>
      <c r="J28" s="113"/>
      <c r="K28" s="114"/>
    </row>
    <row r="29" spans="1:24" ht="19.8" x14ac:dyDescent="0.2">
      <c r="A29" s="130"/>
      <c r="B29" s="131"/>
      <c r="C29" s="117"/>
      <c r="D29" s="118"/>
      <c r="E29" s="119">
        <f>IFERROR(VLOOKUP($D$2&amp;"-3",福祉!$B$2:$AG$897,19,FALSE),0)</f>
        <v>0</v>
      </c>
      <c r="F29" s="119">
        <f>IFERROR(VLOOKUP($D$2&amp;"-3",福祉!$B$2:$AG$897,21,FALSE),0)</f>
        <v>0</v>
      </c>
      <c r="G29" s="119">
        <f>IFERROR(VLOOKUP($D$2&amp;"-3",福祉!$B$2:$AG$897,23,FALSE),0)</f>
        <v>0</v>
      </c>
      <c r="H29" s="119">
        <f>IFERROR(VLOOKUP($D$2&amp;"-3",福祉!$B$2:$AG$897,25,FALSE),0)</f>
        <v>0</v>
      </c>
      <c r="I29" s="119">
        <f>IFERROR(VLOOKUP($D$2&amp;"-3",福祉!$B$2:$AG$897,27,FALSE),0)</f>
        <v>0</v>
      </c>
      <c r="J29" s="119">
        <f>IFERROR(VLOOKUP($D$2&amp;"-3",福祉!$B$2:$AG$897,29,FALSE),0)</f>
        <v>0</v>
      </c>
      <c r="K29" s="120">
        <f>SUM(E29:J29)</f>
        <v>0</v>
      </c>
    </row>
    <row r="30" spans="1:24" s="126" customFormat="1" ht="19.8" x14ac:dyDescent="0.2">
      <c r="A30" s="130"/>
      <c r="B30" s="131"/>
      <c r="C30" s="121"/>
      <c r="D30" s="122"/>
      <c r="E30" s="123">
        <f>IFERROR(VLOOKUP($D$2&amp;"-3",福祉!$B$2:$AG$897,20,FALSE),0)</f>
        <v>0</v>
      </c>
      <c r="F30" s="123">
        <f>IFERROR(VLOOKUP($D$2&amp;"-3",福祉!$B$2:$AG$897,22,FALSE),0)</f>
        <v>0</v>
      </c>
      <c r="G30" s="123">
        <f>IFERROR(VLOOKUP($D$2&amp;"-3",福祉!$B$2:$AG$897,24,FALSE),0)</f>
        <v>0</v>
      </c>
      <c r="H30" s="123">
        <f>IFERROR(VLOOKUP($D$2&amp;"-3",福祉!$B$2:$AG$897,26,FALSE),0)</f>
        <v>0</v>
      </c>
      <c r="I30" s="123">
        <f>IFERROR(VLOOKUP($D$2&amp;"-3",福祉!$B$2:$AG$2897,28,FALSE),0)</f>
        <v>0</v>
      </c>
      <c r="J30" s="124"/>
      <c r="K30" s="125">
        <f>SUM(E30:I30)</f>
        <v>0</v>
      </c>
    </row>
    <row r="31" spans="1:24" ht="19.8" x14ac:dyDescent="0.2">
      <c r="A31" s="130"/>
      <c r="B31" s="131"/>
      <c r="C31" s="111">
        <f>H13</f>
        <v>0</v>
      </c>
      <c r="D31" s="112"/>
      <c r="E31" s="113"/>
      <c r="F31" s="113"/>
      <c r="G31" s="113"/>
      <c r="H31" s="113"/>
      <c r="I31" s="113"/>
      <c r="J31" s="113"/>
      <c r="K31" s="114"/>
    </row>
    <row r="32" spans="1:24" ht="19.8" x14ac:dyDescent="0.2">
      <c r="A32" s="130"/>
      <c r="B32" s="131"/>
      <c r="C32" s="117"/>
      <c r="D32" s="118"/>
      <c r="E32" s="119">
        <f>IFERROR(VLOOKUP($D$2&amp;"-4",福祉!$B$2:$AG$897,19,FALSE),0)</f>
        <v>0</v>
      </c>
      <c r="F32" s="119">
        <f>IFERROR(VLOOKUP($D$2&amp;"-4",福祉!$B$2:$AG$897,21,FALSE),0)</f>
        <v>0</v>
      </c>
      <c r="G32" s="119">
        <f>IFERROR(VLOOKUP($D$2&amp;"-4",福祉!$B$2:$AG$897,23,FALSE),0)</f>
        <v>0</v>
      </c>
      <c r="H32" s="119">
        <f>IFERROR(VLOOKUP($D$2&amp;"-4",福祉!$B$2:$AG$897,25,FALSE),0)</f>
        <v>0</v>
      </c>
      <c r="I32" s="119">
        <f>IFERROR(VLOOKUP($D$2&amp;"-4",福祉!$B$2:$AG$897,27,FALSE),0)</f>
        <v>0</v>
      </c>
      <c r="J32" s="119">
        <f>IFERROR(VLOOKUP($D$2&amp;"-4",福祉!$B$2:$AG$897,29,FALSE),0)</f>
        <v>0</v>
      </c>
      <c r="K32" s="120">
        <f>SUM(E32:J32)</f>
        <v>0</v>
      </c>
    </row>
    <row r="33" spans="1:11" s="126" customFormat="1" ht="19.8" x14ac:dyDescent="0.2">
      <c r="A33" s="132"/>
      <c r="B33" s="133"/>
      <c r="C33" s="121"/>
      <c r="D33" s="122"/>
      <c r="E33" s="123">
        <f>IFERROR(VLOOKUP($D$2&amp;"-4",福祉!$B$2:$AG$897,20,FALSE),0)</f>
        <v>0</v>
      </c>
      <c r="F33" s="123">
        <f>IFERROR(VLOOKUP($D$2&amp;"-4",福祉!$B$2:$AG$897,22,FALSE),0)</f>
        <v>0</v>
      </c>
      <c r="G33" s="123">
        <f>IFERROR(VLOOKUP($D$2&amp;"-4",福祉!$B$2:$AG$897,24,FALSE),0)</f>
        <v>0</v>
      </c>
      <c r="H33" s="123">
        <f>IFERROR(VLOOKUP($D$2&amp;"-4",福祉!$B$2:$AG$897,26,FALSE),0)</f>
        <v>0</v>
      </c>
      <c r="I33" s="123">
        <f>IFERROR(VLOOKUP($D$2&amp;"-4",福祉!$B$2:$AG$2897,28,FALSE),0)</f>
        <v>0</v>
      </c>
      <c r="J33" s="124"/>
      <c r="K33" s="125">
        <f>SUM(E33:I33)</f>
        <v>0</v>
      </c>
    </row>
    <row r="34" spans="1:11" ht="19.8" x14ac:dyDescent="0.2">
      <c r="A34" s="134"/>
      <c r="B34" s="135"/>
      <c r="C34" s="136" t="s">
        <v>361</v>
      </c>
      <c r="D34" s="137"/>
      <c r="E34" s="113"/>
      <c r="F34" s="113"/>
      <c r="G34" s="113"/>
      <c r="H34" s="113"/>
      <c r="I34" s="113"/>
      <c r="J34" s="113"/>
      <c r="K34" s="114"/>
    </row>
    <row r="35" spans="1:11" ht="19.8" x14ac:dyDescent="0.2">
      <c r="A35" s="138"/>
      <c r="B35" s="139"/>
      <c r="C35" s="140"/>
      <c r="D35" s="141"/>
      <c r="E35" s="119">
        <f t="shared" ref="E35:J35" si="0">SUM(E23+E26+E29+E32)</f>
        <v>0</v>
      </c>
      <c r="F35" s="119">
        <f t="shared" si="0"/>
        <v>1</v>
      </c>
      <c r="G35" s="119">
        <f t="shared" si="0"/>
        <v>0</v>
      </c>
      <c r="H35" s="119">
        <f t="shared" si="0"/>
        <v>0</v>
      </c>
      <c r="I35" s="119">
        <f t="shared" si="0"/>
        <v>5</v>
      </c>
      <c r="J35" s="119">
        <f t="shared" si="0"/>
        <v>0</v>
      </c>
      <c r="K35" s="120">
        <f>SUM(E35:J35)</f>
        <v>6</v>
      </c>
    </row>
    <row r="36" spans="1:11" ht="20.399999999999999" thickBot="1" x14ac:dyDescent="0.25">
      <c r="A36" s="142"/>
      <c r="B36" s="143"/>
      <c r="C36" s="144"/>
      <c r="D36" s="145"/>
      <c r="E36" s="146">
        <f>SUM(E24+E27+E30+E33)</f>
        <v>0</v>
      </c>
      <c r="F36" s="146">
        <f>SUM(F24+F27+F30+F33)</f>
        <v>0</v>
      </c>
      <c r="G36" s="146">
        <f>SUM(G24+G27+G30+G33)</f>
        <v>0</v>
      </c>
      <c r="H36" s="146">
        <f>SUM(H24+H27+H30+H33)</f>
        <v>0</v>
      </c>
      <c r="I36" s="146">
        <f>SUM(I24+I27+I30+I33)</f>
        <v>0</v>
      </c>
      <c r="J36" s="147"/>
      <c r="K36" s="148">
        <f>SUM(E36:I36)</f>
        <v>0</v>
      </c>
    </row>
    <row r="37" spans="1:11" ht="19.8" x14ac:dyDescent="0.2">
      <c r="A37" s="149"/>
      <c r="B37" s="149"/>
      <c r="C37" s="149"/>
      <c r="D37" s="149"/>
      <c r="E37" s="149"/>
      <c r="F37" s="149"/>
      <c r="G37" s="149"/>
      <c r="H37" s="149"/>
      <c r="I37" s="149"/>
      <c r="J37" s="149"/>
    </row>
    <row r="38" spans="1:11" ht="19.8" x14ac:dyDescent="0.2">
      <c r="A38" s="149"/>
      <c r="B38" s="149"/>
      <c r="C38" s="149"/>
      <c r="D38" s="149"/>
      <c r="E38" s="149"/>
      <c r="F38" s="149"/>
      <c r="G38" s="149"/>
      <c r="H38" s="149"/>
      <c r="I38" s="149"/>
      <c r="J38" s="149"/>
    </row>
  </sheetData>
  <sheetProtection algorithmName="SHA-512" hashValue="8IIPDJcJ53pxkK1lhTKZFA+xOeISOkrbDBV76gqMtXheDUVE9hYqEX2JAyd7uARUI1T077SAFbiqEAEgQHJKwQ==" saltValue="tYm3iQ9navB7vjmAJ8wKt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A1458CC-35BF-4CF4-9FCA-3DC63BF0D336}"/>
    <dataValidation type="list" allowBlank="1" showInputMessage="1" sqref="A22:B33" xr:uid="{DF75F86D-A62B-43BF-9EF2-F68C6F8D72B4}">
      <formula1>"交通空白地有償運送,福祉有償運送"</formula1>
    </dataValidation>
    <dataValidation type="list" allowBlank="1" showInputMessage="1" sqref="D10" xr:uid="{93F34F29-AD26-4F5A-B430-EE1A9C328AFE}">
      <formula1>"○"</formula1>
    </dataValidation>
  </dataValidations>
  <hyperlinks>
    <hyperlink ref="O1:Q1" location="福祉!A1" display="目次" xr:uid="{246539B2-92E3-4C33-9FB8-4E378F9DD530}"/>
  </hyperlinks>
  <pageMargins left="0.25" right="0.25"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福祉</vt:lpstr>
      <vt:lpstr>旅客の範囲</vt:lpstr>
      <vt:lpstr>市福1</vt:lpstr>
      <vt:lpstr>市福5</vt:lpstr>
      <vt:lpstr>市福7</vt:lpstr>
      <vt:lpstr>2</vt:lpstr>
      <vt:lpstr>3</vt:lpstr>
      <vt:lpstr>4</vt:lpstr>
      <vt:lpstr>5</vt:lpstr>
      <vt:lpstr>7</vt:lpstr>
      <vt:lpstr>8</vt:lpstr>
      <vt:lpstr>9</vt:lpstr>
      <vt:lpstr>10</vt:lpstr>
      <vt:lpstr>16</vt:lpstr>
      <vt:lpstr>18</vt:lpstr>
      <vt:lpstr>20</vt:lpstr>
      <vt:lpstr>25</vt:lpstr>
      <vt:lpstr>26</vt:lpstr>
      <vt:lpstr>31</vt:lpstr>
      <vt:lpstr>32</vt:lpstr>
      <vt:lpstr>34</vt:lpstr>
      <vt:lpstr>35</vt:lpstr>
      <vt:lpstr>37</vt:lpstr>
      <vt:lpstr>39</vt:lpstr>
      <vt:lpstr>40</vt:lpstr>
      <vt:lpstr>41</vt:lpstr>
      <vt:lpstr>45</vt:lpstr>
      <vt:lpstr>46</vt:lpstr>
      <vt:lpstr>47</vt:lpstr>
      <vt:lpstr>48</vt:lpstr>
      <vt:lpstr>49</vt:lpstr>
      <vt:lpstr>50</vt:lpstr>
      <vt:lpstr>51</vt:lpstr>
      <vt:lpstr>52</vt:lpstr>
      <vt:lpstr>53</vt:lpstr>
      <vt:lpstr>54</vt:lpstr>
      <vt:lpstr>'10'!Print_Area</vt:lpstr>
      <vt:lpstr>'16'!Print_Area</vt:lpstr>
      <vt:lpstr>'18'!Print_Area</vt:lpstr>
      <vt:lpstr>'2'!Print_Area</vt:lpstr>
      <vt:lpstr>'20'!Print_Area</vt:lpstr>
      <vt:lpstr>'25'!Print_Area</vt:lpstr>
      <vt:lpstr>'26'!Print_Area</vt:lpstr>
      <vt:lpstr>'3'!Print_Area</vt:lpstr>
      <vt:lpstr>'31'!Print_Area</vt:lpstr>
      <vt:lpstr>'32'!Print_Area</vt:lpstr>
      <vt:lpstr>'34'!Print_Area</vt:lpstr>
      <vt:lpstr>'35'!Print_Area</vt:lpstr>
      <vt:lpstr>'37'!Print_Area</vt:lpstr>
      <vt:lpstr>'39'!Print_Area</vt:lpstr>
      <vt:lpstr>'4'!Print_Area</vt:lpstr>
      <vt:lpstr>'40'!Print_Area</vt:lpstr>
      <vt:lpstr>'41'!Print_Area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'7'!Print_Area</vt:lpstr>
      <vt:lpstr>'8'!Print_Area</vt:lpstr>
      <vt:lpstr>'9'!Print_Area</vt:lpstr>
      <vt:lpstr>市福1!Print_Area</vt:lpstr>
      <vt:lpstr>市福5!Print_Area</vt:lpstr>
      <vt:lpstr>市福7!Print_Area</vt:lpstr>
      <vt:lpstr>福祉!Print_Area</vt:lpstr>
      <vt:lpstr>旅客の範囲!Print_Area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和宏</dc:creator>
  <cp:lastModifiedBy>上野 和宏</cp:lastModifiedBy>
  <dcterms:created xsi:type="dcterms:W3CDTF">2024-04-05T02:56:00Z</dcterms:created>
  <dcterms:modified xsi:type="dcterms:W3CDTF">2024-04-05T02:56:16Z</dcterms:modified>
</cp:coreProperties>
</file>