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updateLinks="never" defaultThemeVersion="124226"/>
  <xr:revisionPtr revIDLastSave="0" documentId="13_ncr:1_{7273410A-B17C-4FD8-9727-BDEC95F64A8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輸移出入別" sheetId="1" r:id="rId1"/>
  </sheets>
  <definedNames>
    <definedName name="_xlnm.Print_Area" localSheetId="0">輸移出入別!$A$1:$V$14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O13" i="1"/>
  <c r="O12" i="1"/>
  <c r="O11" i="1"/>
  <c r="O10" i="1"/>
  <c r="O9" i="1"/>
  <c r="O8" i="1"/>
  <c r="O7" i="1"/>
  <c r="O6" i="1"/>
  <c r="L13" i="1"/>
  <c r="L12" i="1"/>
  <c r="L11" i="1"/>
  <c r="L10" i="1"/>
  <c r="L9" i="1"/>
  <c r="L8" i="1"/>
  <c r="L7" i="1"/>
  <c r="L6" i="1"/>
  <c r="F13" i="1"/>
  <c r="F12" i="1"/>
  <c r="F11" i="1"/>
  <c r="F10" i="1"/>
  <c r="F9" i="1"/>
  <c r="F8" i="1"/>
  <c r="F7" i="1"/>
  <c r="F6" i="1"/>
  <c r="P13" i="1"/>
  <c r="P12" i="1"/>
  <c r="P11" i="1"/>
  <c r="P10" i="1"/>
  <c r="P9" i="1"/>
  <c r="P8" i="1"/>
  <c r="P7" i="1"/>
  <c r="P6" i="1"/>
  <c r="E14" i="1"/>
  <c r="G14" i="1" s="1"/>
  <c r="M13" i="1"/>
  <c r="M12" i="1"/>
  <c r="M11" i="1"/>
  <c r="M10" i="1"/>
  <c r="M9" i="1"/>
  <c r="M8" i="1"/>
  <c r="M7" i="1"/>
  <c r="M6" i="1"/>
  <c r="G13" i="1"/>
  <c r="G12" i="1"/>
  <c r="G11" i="1"/>
  <c r="G9" i="1"/>
  <c r="G8" i="1"/>
  <c r="G7" i="1"/>
  <c r="G6" i="1"/>
  <c r="D13" i="1"/>
  <c r="D12" i="1"/>
  <c r="D11" i="1"/>
  <c r="D10" i="1"/>
  <c r="D9" i="1"/>
  <c r="D8" i="1"/>
  <c r="D7" i="1"/>
  <c r="D6" i="1"/>
  <c r="C13" i="1"/>
  <c r="C12" i="1"/>
  <c r="C11" i="1"/>
  <c r="C10" i="1"/>
  <c r="C9" i="1"/>
  <c r="C8" i="1"/>
  <c r="C7" i="1"/>
  <c r="C6" i="1"/>
  <c r="F14" i="1" l="1"/>
  <c r="Q12" i="1"/>
  <c r="H12" i="1"/>
  <c r="H8" i="1"/>
  <c r="Q6" i="1"/>
  <c r="S12" i="1" l="1"/>
  <c r="R12" i="1"/>
  <c r="J8" i="1"/>
  <c r="I8" i="1"/>
  <c r="S6" i="1"/>
  <c r="R6" i="1"/>
  <c r="I12" i="1"/>
  <c r="J12" i="1"/>
  <c r="H9" i="1"/>
  <c r="Q9" i="1"/>
  <c r="H11" i="1"/>
  <c r="Q11" i="1"/>
  <c r="H13" i="1"/>
  <c r="Q13" i="1"/>
  <c r="Q7" i="1"/>
  <c r="N14" i="1"/>
  <c r="H6" i="1"/>
  <c r="H7" i="1"/>
  <c r="Q8" i="1"/>
  <c r="H10" i="1"/>
  <c r="Q10" i="1"/>
  <c r="T12" i="1"/>
  <c r="B14" i="1"/>
  <c r="K14" i="1"/>
  <c r="L14" i="1" s="1"/>
  <c r="O14" i="1" l="1"/>
  <c r="P14" i="1"/>
  <c r="M14" i="1"/>
  <c r="D14" i="1"/>
  <c r="C14" i="1"/>
  <c r="V12" i="1"/>
  <c r="U12" i="1"/>
  <c r="S8" i="1"/>
  <c r="R8" i="1"/>
  <c r="R11" i="1"/>
  <c r="S11" i="1"/>
  <c r="R10" i="1"/>
  <c r="S10" i="1"/>
  <c r="I10" i="1"/>
  <c r="J10" i="1"/>
  <c r="J7" i="1"/>
  <c r="I7" i="1"/>
  <c r="J9" i="1"/>
  <c r="I9" i="1"/>
  <c r="I11" i="1"/>
  <c r="J11" i="1"/>
  <c r="R9" i="1"/>
  <c r="S9" i="1"/>
  <c r="T6" i="1"/>
  <c r="J6" i="1"/>
  <c r="I6" i="1"/>
  <c r="S7" i="1"/>
  <c r="R7" i="1"/>
  <c r="S13" i="1"/>
  <c r="R13" i="1"/>
  <c r="I13" i="1"/>
  <c r="J13" i="1"/>
  <c r="T13" i="1"/>
  <c r="T11" i="1"/>
  <c r="T9" i="1"/>
  <c r="T7" i="1"/>
  <c r="Q14" i="1"/>
  <c r="T8" i="1"/>
  <c r="T10" i="1"/>
  <c r="H14" i="1"/>
  <c r="V13" i="1" l="1"/>
  <c r="U13" i="1"/>
  <c r="J14" i="1"/>
  <c r="I14" i="1"/>
  <c r="V6" i="1"/>
  <c r="U6" i="1"/>
  <c r="U10" i="1"/>
  <c r="V10" i="1"/>
  <c r="U8" i="1"/>
  <c r="V8" i="1"/>
  <c r="S14" i="1"/>
  <c r="R14" i="1"/>
  <c r="V7" i="1"/>
  <c r="U7" i="1"/>
  <c r="U9" i="1"/>
  <c r="V9" i="1"/>
  <c r="U11" i="1"/>
  <c r="V11" i="1"/>
  <c r="T14" i="1"/>
  <c r="V14" i="1" l="1"/>
  <c r="U14" i="1"/>
</calcChain>
</file>

<file path=xl/sharedStrings.xml><?xml version="1.0" encoding="utf-8"?>
<sst xmlns="http://schemas.openxmlformats.org/spreadsheetml/2006/main" count="34" uniqueCount="22">
  <si>
    <t>表２</t>
    <rPh sb="0" eb="1">
      <t>ヒョウ</t>
    </rPh>
    <phoneticPr fontId="6"/>
  </si>
  <si>
    <t>（単位：万トン）</t>
    <rPh sb="1" eb="3">
      <t>タンイ</t>
    </rPh>
    <rPh sb="4" eb="5">
      <t>マン</t>
    </rPh>
    <phoneticPr fontId="6"/>
  </si>
  <si>
    <t>港名</t>
    <rPh sb="0" eb="1">
      <t>ミナト</t>
    </rPh>
    <rPh sb="1" eb="2">
      <t>メイ</t>
    </rPh>
    <phoneticPr fontId="6"/>
  </si>
  <si>
    <t>輸入</t>
    <rPh sb="0" eb="2">
      <t>ユニュウ</t>
    </rPh>
    <phoneticPr fontId="6"/>
  </si>
  <si>
    <t>輸出</t>
    <rPh sb="0" eb="2">
      <t>ユシュツ</t>
    </rPh>
    <phoneticPr fontId="6"/>
  </si>
  <si>
    <t>小計</t>
    <rPh sb="0" eb="2">
      <t>ショウケイ</t>
    </rPh>
    <phoneticPr fontId="6"/>
  </si>
  <si>
    <t>移入</t>
    <rPh sb="0" eb="2">
      <t>イニュウ</t>
    </rPh>
    <phoneticPr fontId="6"/>
  </si>
  <si>
    <t>移出</t>
    <rPh sb="0" eb="2">
      <t>イシュツ</t>
    </rPh>
    <phoneticPr fontId="6"/>
  </si>
  <si>
    <t>合計</t>
    <rPh sb="0" eb="2">
      <t>ゴウケイ</t>
    </rPh>
    <phoneticPr fontId="6"/>
  </si>
  <si>
    <t>前年度比</t>
    <rPh sb="0" eb="2">
      <t>ゼンネン</t>
    </rPh>
    <rPh sb="2" eb="3">
      <t>ド</t>
    </rPh>
    <rPh sb="3" eb="4">
      <t>ヒ</t>
    </rPh>
    <phoneticPr fontId="6"/>
  </si>
  <si>
    <t>前々年度比</t>
    <rPh sb="0" eb="5">
      <t>ゼンゼンネンドヒ</t>
    </rPh>
    <phoneticPr fontId="6"/>
  </si>
  <si>
    <t>前年度比</t>
    <rPh sb="0" eb="4">
      <t>ゼンネンドヒ</t>
    </rPh>
    <phoneticPr fontId="6"/>
  </si>
  <si>
    <t>横浜</t>
  </si>
  <si>
    <t>東京</t>
  </si>
  <si>
    <t>川崎</t>
  </si>
  <si>
    <t>横須賀</t>
  </si>
  <si>
    <t>千葉</t>
  </si>
  <si>
    <t>木更津</t>
  </si>
  <si>
    <t>鹿島</t>
  </si>
  <si>
    <t>日立</t>
  </si>
  <si>
    <t>合計</t>
  </si>
  <si>
    <t>令和４年度　関東運輸局管内港別船舶積卸し実績（輸移出入別）</t>
    <rPh sb="0" eb="2">
      <t>レイワ</t>
    </rPh>
    <rPh sb="3" eb="5">
      <t>ネンド</t>
    </rPh>
    <rPh sb="6" eb="8">
      <t>カントウ</t>
    </rPh>
    <rPh sb="8" eb="11">
      <t>ウンユキョク</t>
    </rPh>
    <rPh sb="11" eb="13">
      <t>カンナイ</t>
    </rPh>
    <rPh sb="13" eb="14">
      <t>ミナト</t>
    </rPh>
    <rPh sb="14" eb="15">
      <t>ベツ</t>
    </rPh>
    <rPh sb="15" eb="17">
      <t>センパク</t>
    </rPh>
    <rPh sb="17" eb="19">
      <t>ツミオロ</t>
    </rPh>
    <rPh sb="20" eb="22">
      <t>ジッセキ</t>
    </rPh>
    <rPh sb="23" eb="24">
      <t>ユ</t>
    </rPh>
    <rPh sb="24" eb="26">
      <t>イシュツ</t>
    </rPh>
    <rPh sb="26" eb="27">
      <t>ニュウ</t>
    </rPh>
    <rPh sb="27" eb="28">
      <t>ベツ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</si>
</sst>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81">
    <xf numFmtId="0" fontId="0" fillId="0" borderId="0" xfId="0"/>
    <xf numFmtId="0" fontId="3" fillId="0" borderId="0" xfId="2" applyFont="1" applyAlignment="1">
      <alignment horizontal="distributed" justifyLastLine="1"/>
    </xf>
    <xf numFmtId="0" fontId="4" fillId="0" borderId="0" xfId="2" applyFont="1"/>
    <xf numFmtId="0" fontId="5" fillId="0" borderId="0" xfId="2" applyFont="1" applyAlignment="1">
      <alignment horizontal="distributed" vertical="center" justifyLastLine="1"/>
    </xf>
    <xf numFmtId="0" fontId="3" fillId="0" borderId="0" xfId="2" applyFont="1"/>
    <xf numFmtId="0" fontId="3" fillId="0" borderId="0" xfId="2" applyFont="1" applyAlignment="1">
      <alignment horizontal="right"/>
    </xf>
    <xf numFmtId="0" fontId="7" fillId="0" borderId="12" xfId="2" applyFont="1" applyBorder="1" applyAlignment="1">
      <alignment horizontal="center" shrinkToFit="1"/>
    </xf>
    <xf numFmtId="0" fontId="7" fillId="0" borderId="14" xfId="2" applyFont="1" applyBorder="1" applyAlignment="1">
      <alignment horizontal="center" shrinkToFit="1"/>
    </xf>
    <xf numFmtId="0" fontId="7" fillId="0" borderId="15" xfId="2" applyFont="1" applyBorder="1" applyAlignment="1">
      <alignment horizont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24" xfId="2" applyFont="1" applyBorder="1" applyAlignment="1">
      <alignment horizontal="distributed" vertical="center" justifyLastLine="1"/>
    </xf>
    <xf numFmtId="0" fontId="3" fillId="0" borderId="24" xfId="2" applyFont="1" applyBorder="1" applyAlignment="1">
      <alignment horizontal="center" vertical="center" justifyLastLine="1"/>
    </xf>
    <xf numFmtId="0" fontId="3" fillId="0" borderId="26" xfId="2" applyFont="1" applyBorder="1" applyAlignment="1">
      <alignment horizontal="distributed" vertical="center" justifyLastLine="1"/>
    </xf>
    <xf numFmtId="0" fontId="3" fillId="0" borderId="9" xfId="2" applyFont="1" applyBorder="1" applyAlignment="1">
      <alignment horizontal="distributed" vertical="center" justifyLastLine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distributed" vertical="center" justifyLastLine="1"/>
    </xf>
    <xf numFmtId="0" fontId="8" fillId="0" borderId="0" xfId="2" applyFont="1" applyAlignment="1"/>
    <xf numFmtId="0" fontId="3" fillId="0" borderId="3" xfId="2" applyFont="1" applyBorder="1" applyAlignment="1">
      <alignment horizontal="distributed" vertical="center" justifyLastLine="1"/>
    </xf>
    <xf numFmtId="0" fontId="2" fillId="0" borderId="3" xfId="2" applyFont="1" applyBorder="1" applyAlignment="1">
      <alignment horizontal="distributed" vertical="center" justifyLastLine="1"/>
    </xf>
    <xf numFmtId="0" fontId="2" fillId="0" borderId="8" xfId="2" applyFont="1" applyBorder="1" applyAlignment="1">
      <alignment horizontal="distributed" vertical="center" justifyLastLine="1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distributed" vertical="center" justifyLastLine="1"/>
    </xf>
    <xf numFmtId="0" fontId="3" fillId="0" borderId="1" xfId="2" applyFont="1" applyBorder="1" applyAlignment="1">
      <alignment horizontal="distributed" vertical="center" justifyLastLine="1"/>
    </xf>
    <xf numFmtId="0" fontId="3" fillId="0" borderId="9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3" fillId="0" borderId="7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justifyLastLine="1"/>
    </xf>
    <xf numFmtId="0" fontId="3" fillId="0" borderId="6" xfId="2" applyFont="1" applyBorder="1" applyAlignment="1">
      <alignment horizontal="distributed" vertical="center" justifyLastLine="1"/>
    </xf>
    <xf numFmtId="176" fontId="3" fillId="2" borderId="17" xfId="2" applyNumberFormat="1" applyFont="1" applyFill="1" applyBorder="1" applyAlignment="1">
      <alignment horizontal="right" vertical="center" shrinkToFit="1"/>
    </xf>
    <xf numFmtId="177" fontId="3" fillId="2" borderId="18" xfId="2" applyNumberFormat="1" applyFont="1" applyFill="1" applyBorder="1" applyAlignment="1">
      <alignment horizontal="right" vertical="center" shrinkToFit="1"/>
    </xf>
    <xf numFmtId="177" fontId="3" fillId="2" borderId="41" xfId="2" applyNumberFormat="1" applyFont="1" applyFill="1" applyBorder="1" applyAlignment="1">
      <alignment horizontal="right" vertical="center" shrinkToFit="1"/>
    </xf>
    <xf numFmtId="176" fontId="3" fillId="2" borderId="42" xfId="2" applyNumberFormat="1" applyFont="1" applyFill="1" applyBorder="1" applyAlignment="1">
      <alignment horizontal="right" vertical="center" shrinkToFit="1"/>
    </xf>
    <xf numFmtId="177" fontId="3" fillId="2" borderId="46" xfId="2" applyNumberFormat="1" applyFont="1" applyFill="1" applyBorder="1" applyAlignment="1">
      <alignment horizontal="right" vertical="center" shrinkToFit="1"/>
    </xf>
    <xf numFmtId="176" fontId="3" fillId="2" borderId="47" xfId="2" applyNumberFormat="1" applyFont="1" applyFill="1" applyBorder="1" applyAlignment="1">
      <alignment horizontal="right" vertical="center" shrinkToFit="1"/>
    </xf>
    <xf numFmtId="177" fontId="3" fillId="2" borderId="22" xfId="2" applyNumberFormat="1" applyFont="1" applyFill="1" applyBorder="1" applyAlignment="1">
      <alignment horizontal="right" vertical="center" shrinkToFit="1"/>
    </xf>
    <xf numFmtId="177" fontId="3" fillId="2" borderId="21" xfId="2" applyNumberFormat="1" applyFont="1" applyFill="1" applyBorder="1" applyAlignment="1">
      <alignment horizontal="right" vertical="center" shrinkToFit="1"/>
    </xf>
    <xf numFmtId="176" fontId="3" fillId="2" borderId="20" xfId="2" applyNumberFormat="1" applyFont="1" applyFill="1" applyBorder="1" applyAlignment="1">
      <alignment horizontal="right" vertical="center" shrinkToFit="1"/>
    </xf>
    <xf numFmtId="177" fontId="3" fillId="2" borderId="23" xfId="2" applyNumberFormat="1" applyFont="1" applyFill="1" applyBorder="1" applyAlignment="1">
      <alignment horizontal="right" vertical="center" shrinkToFit="1"/>
    </xf>
    <xf numFmtId="176" fontId="3" fillId="0" borderId="17" xfId="2" applyNumberFormat="1" applyFont="1" applyFill="1" applyBorder="1" applyAlignment="1">
      <alignment horizontal="right" vertical="center" shrinkToFit="1"/>
    </xf>
    <xf numFmtId="177" fontId="3" fillId="0" borderId="18" xfId="2" applyNumberFormat="1" applyFont="1" applyFill="1" applyBorder="1" applyAlignment="1">
      <alignment horizontal="right" vertical="center" shrinkToFit="1"/>
    </xf>
    <xf numFmtId="177" fontId="3" fillId="0" borderId="19" xfId="2" applyNumberFormat="1" applyFont="1" applyFill="1" applyBorder="1" applyAlignment="1">
      <alignment horizontal="right" vertical="center" shrinkToFit="1"/>
    </xf>
    <xf numFmtId="176" fontId="3" fillId="0" borderId="43" xfId="2" applyNumberFormat="1" applyFont="1" applyFill="1" applyBorder="1" applyAlignment="1">
      <alignment horizontal="right" vertical="center" shrinkToFit="1"/>
    </xf>
    <xf numFmtId="177" fontId="3" fillId="0" borderId="21" xfId="2" applyNumberFormat="1" applyFont="1" applyFill="1" applyBorder="1" applyAlignment="1">
      <alignment horizontal="right" vertical="center" shrinkToFit="1"/>
    </xf>
    <xf numFmtId="176" fontId="3" fillId="0" borderId="48" xfId="2" applyNumberFormat="1" applyFont="1" applyFill="1" applyBorder="1" applyAlignment="1">
      <alignment horizontal="right" vertical="center" shrinkToFit="1"/>
    </xf>
    <xf numFmtId="177" fontId="3" fillId="0" borderId="22" xfId="2" applyNumberFormat="1" applyFont="1" applyFill="1" applyBorder="1" applyAlignment="1">
      <alignment horizontal="right" vertical="center" shrinkToFit="1"/>
    </xf>
    <xf numFmtId="176" fontId="3" fillId="0" borderId="20" xfId="2" applyNumberFormat="1" applyFont="1" applyFill="1" applyBorder="1" applyAlignment="1">
      <alignment horizontal="right" vertical="center" shrinkToFit="1"/>
    </xf>
    <xf numFmtId="177" fontId="3" fillId="0" borderId="23" xfId="2" applyNumberFormat="1" applyFont="1" applyFill="1" applyBorder="1" applyAlignment="1">
      <alignment horizontal="right" vertical="center" shrinkToFit="1"/>
    </xf>
    <xf numFmtId="177" fontId="3" fillId="2" borderId="19" xfId="2" applyNumberFormat="1" applyFont="1" applyFill="1" applyBorder="1" applyAlignment="1">
      <alignment horizontal="right" vertical="center" shrinkToFit="1"/>
    </xf>
    <xf numFmtId="176" fontId="3" fillId="2" borderId="43" xfId="2" applyNumberFormat="1" applyFont="1" applyFill="1" applyBorder="1" applyAlignment="1">
      <alignment horizontal="right" vertical="center" shrinkToFit="1"/>
    </xf>
    <xf numFmtId="176" fontId="3" fillId="2" borderId="48" xfId="2" applyNumberFormat="1" applyFont="1" applyFill="1" applyBorder="1" applyAlignment="1">
      <alignment horizontal="right" vertical="center" shrinkToFit="1"/>
    </xf>
    <xf numFmtId="177" fontId="3" fillId="0" borderId="25" xfId="2" applyNumberFormat="1" applyFont="1" applyFill="1" applyBorder="1" applyAlignment="1">
      <alignment horizontal="right" vertical="center" shrinkToFit="1"/>
    </xf>
    <xf numFmtId="176" fontId="3" fillId="0" borderId="0" xfId="2" applyNumberFormat="1" applyFont="1" applyFill="1" applyBorder="1" applyAlignment="1">
      <alignment horizontal="right" vertical="center" shrinkToFit="1"/>
    </xf>
    <xf numFmtId="176" fontId="3" fillId="0" borderId="27" xfId="2" applyNumberFormat="1" applyFont="1" applyFill="1" applyBorder="1" applyAlignment="1">
      <alignment horizontal="right" vertical="center" shrinkToFit="1"/>
    </xf>
    <xf numFmtId="177" fontId="3" fillId="0" borderId="28" xfId="2" applyNumberFormat="1" applyFont="1" applyFill="1" applyBorder="1" applyAlignment="1">
      <alignment horizontal="right" vertical="center" shrinkToFit="1"/>
    </xf>
    <xf numFmtId="177" fontId="3" fillId="0" borderId="29" xfId="2" applyNumberFormat="1" applyFont="1" applyFill="1" applyBorder="1" applyAlignment="1">
      <alignment horizontal="right" vertical="center" shrinkToFit="1"/>
    </xf>
    <xf numFmtId="176" fontId="3" fillId="0" borderId="44" xfId="2" applyNumberFormat="1" applyFont="1" applyFill="1" applyBorder="1" applyAlignment="1">
      <alignment horizontal="right" vertical="center" shrinkToFit="1"/>
    </xf>
    <xf numFmtId="177" fontId="3" fillId="0" borderId="30" xfId="2" applyNumberFormat="1" applyFont="1" applyFill="1" applyBorder="1" applyAlignment="1">
      <alignment horizontal="right" vertical="center" shrinkToFit="1"/>
    </xf>
    <xf numFmtId="176" fontId="3" fillId="0" borderId="49" xfId="2" applyNumberFormat="1" applyFont="1" applyFill="1" applyBorder="1" applyAlignment="1">
      <alignment horizontal="right" vertical="center" shrinkToFit="1"/>
    </xf>
    <xf numFmtId="177" fontId="3" fillId="0" borderId="31" xfId="2" applyNumberFormat="1" applyFont="1" applyFill="1" applyBorder="1" applyAlignment="1">
      <alignment horizontal="right" vertical="center" shrinkToFit="1"/>
    </xf>
    <xf numFmtId="176" fontId="3" fillId="0" borderId="32" xfId="2" applyNumberFormat="1" applyFont="1" applyFill="1" applyBorder="1" applyAlignment="1">
      <alignment horizontal="right" vertical="center" shrinkToFit="1"/>
    </xf>
    <xf numFmtId="177" fontId="3" fillId="0" borderId="33" xfId="2" applyNumberFormat="1" applyFont="1" applyFill="1" applyBorder="1" applyAlignment="1">
      <alignment horizontal="right" vertical="center" shrinkToFit="1"/>
    </xf>
    <xf numFmtId="176" fontId="3" fillId="2" borderId="10" xfId="2" applyNumberFormat="1" applyFont="1" applyFill="1" applyBorder="1" applyAlignment="1">
      <alignment horizontal="right" vertical="center" shrinkToFit="1"/>
    </xf>
    <xf numFmtId="177" fontId="3" fillId="2" borderId="34" xfId="1" applyNumberFormat="1" applyFont="1" applyFill="1" applyBorder="1" applyAlignment="1">
      <alignment horizontal="right" vertical="center" shrinkToFit="1"/>
    </xf>
    <xf numFmtId="177" fontId="3" fillId="2" borderId="35" xfId="1" applyNumberFormat="1" applyFont="1" applyFill="1" applyBorder="1" applyAlignment="1">
      <alignment horizontal="right" vertical="center" shrinkToFit="1"/>
    </xf>
    <xf numFmtId="176" fontId="3" fillId="2" borderId="45" xfId="2" applyNumberFormat="1" applyFont="1" applyFill="1" applyBorder="1" applyAlignment="1">
      <alignment horizontal="right" vertical="center" shrinkToFit="1"/>
    </xf>
    <xf numFmtId="177" fontId="3" fillId="2" borderId="36" xfId="1" applyNumberFormat="1" applyFont="1" applyFill="1" applyBorder="1" applyAlignment="1">
      <alignment horizontal="right" vertical="center" shrinkToFit="1"/>
    </xf>
    <xf numFmtId="176" fontId="3" fillId="2" borderId="50" xfId="2" applyNumberFormat="1" applyFont="1" applyFill="1" applyBorder="1" applyAlignment="1">
      <alignment horizontal="right" vertical="center" shrinkToFit="1"/>
    </xf>
    <xf numFmtId="177" fontId="3" fillId="2" borderId="37" xfId="1" applyNumberFormat="1" applyFont="1" applyFill="1" applyBorder="1" applyAlignment="1">
      <alignment horizontal="right" vertical="center" shrinkToFit="1"/>
    </xf>
    <xf numFmtId="176" fontId="3" fillId="2" borderId="38" xfId="2" applyNumberFormat="1" applyFont="1" applyFill="1" applyBorder="1" applyAlignment="1">
      <alignment horizontal="right" vertical="center" shrinkToFit="1"/>
    </xf>
    <xf numFmtId="177" fontId="3" fillId="2" borderId="39" xfId="1" applyNumberFormat="1" applyFont="1" applyFill="1" applyBorder="1" applyAlignment="1">
      <alignment horizontal="right" vertical="center" shrinkToFit="1"/>
    </xf>
    <xf numFmtId="177" fontId="3" fillId="2" borderId="40" xfId="1" applyNumberFormat="1" applyFont="1" applyFill="1" applyBorder="1" applyAlignment="1">
      <alignment horizontal="right" vertical="center" shrinkToFit="1"/>
    </xf>
    <xf numFmtId="0" fontId="3" fillId="0" borderId="10" xfId="2" applyFont="1" applyBorder="1" applyAlignment="1">
      <alignment horizontal="center" shrinkToFit="1"/>
    </xf>
    <xf numFmtId="0" fontId="7" fillId="0" borderId="11" xfId="2" applyFont="1" applyBorder="1" applyAlignment="1">
      <alignment horizontal="center" shrinkToFit="1"/>
    </xf>
    <xf numFmtId="0" fontId="3" fillId="0" borderId="13" xfId="2" applyFont="1" applyBorder="1" applyAlignment="1">
      <alignment horizontal="center" shrinkToFit="1"/>
    </xf>
    <xf numFmtId="0" fontId="7" fillId="0" borderId="16" xfId="2" applyFont="1" applyBorder="1" applyAlignment="1">
      <alignment horizontal="center" shrinkToFit="1"/>
    </xf>
  </cellXfs>
  <cellStyles count="3">
    <cellStyle name="パーセント" xfId="1" builtinId="5"/>
    <cellStyle name="標準" xfId="0" builtinId="0"/>
    <cellStyle name="標準_ｐ２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14"/>
  <sheetViews>
    <sheetView tabSelected="1" zoomScaleNormal="100" workbookViewId="0">
      <selection activeCell="H27" sqref="H27"/>
    </sheetView>
  </sheetViews>
  <sheetFormatPr defaultRowHeight="13.2" x14ac:dyDescent="0.2"/>
  <cols>
    <col min="2" max="5" width="7.6640625" customWidth="1"/>
    <col min="6" max="6" width="8.88671875" customWidth="1"/>
    <col min="7" max="22" width="7.6640625" customWidth="1"/>
    <col min="23" max="23" width="8.88671875" customWidth="1"/>
    <col min="253" max="253" width="4.21875" customWidth="1"/>
    <col min="255" max="275" width="7.6640625" customWidth="1"/>
    <col min="509" max="509" width="4.21875" customWidth="1"/>
    <col min="511" max="531" width="7.6640625" customWidth="1"/>
    <col min="765" max="765" width="4.21875" customWidth="1"/>
    <col min="767" max="787" width="7.6640625" customWidth="1"/>
    <col min="1021" max="1021" width="4.21875" customWidth="1"/>
    <col min="1023" max="1043" width="7.6640625" customWidth="1"/>
    <col min="1277" max="1277" width="4.21875" customWidth="1"/>
    <col min="1279" max="1299" width="7.6640625" customWidth="1"/>
    <col min="1533" max="1533" width="4.21875" customWidth="1"/>
    <col min="1535" max="1555" width="7.6640625" customWidth="1"/>
    <col min="1789" max="1789" width="4.21875" customWidth="1"/>
    <col min="1791" max="1811" width="7.6640625" customWidth="1"/>
    <col min="2045" max="2045" width="4.21875" customWidth="1"/>
    <col min="2047" max="2067" width="7.6640625" customWidth="1"/>
    <col min="2301" max="2301" width="4.21875" customWidth="1"/>
    <col min="2303" max="2323" width="7.6640625" customWidth="1"/>
    <col min="2557" max="2557" width="4.21875" customWidth="1"/>
    <col min="2559" max="2579" width="7.6640625" customWidth="1"/>
    <col min="2813" max="2813" width="4.21875" customWidth="1"/>
    <col min="2815" max="2835" width="7.6640625" customWidth="1"/>
    <col min="3069" max="3069" width="4.21875" customWidth="1"/>
    <col min="3071" max="3091" width="7.6640625" customWidth="1"/>
    <col min="3325" max="3325" width="4.21875" customWidth="1"/>
    <col min="3327" max="3347" width="7.6640625" customWidth="1"/>
    <col min="3581" max="3581" width="4.21875" customWidth="1"/>
    <col min="3583" max="3603" width="7.6640625" customWidth="1"/>
    <col min="3837" max="3837" width="4.21875" customWidth="1"/>
    <col min="3839" max="3859" width="7.6640625" customWidth="1"/>
    <col min="4093" max="4093" width="4.21875" customWidth="1"/>
    <col min="4095" max="4115" width="7.6640625" customWidth="1"/>
    <col min="4349" max="4349" width="4.21875" customWidth="1"/>
    <col min="4351" max="4371" width="7.6640625" customWidth="1"/>
    <col min="4605" max="4605" width="4.21875" customWidth="1"/>
    <col min="4607" max="4627" width="7.6640625" customWidth="1"/>
    <col min="4861" max="4861" width="4.21875" customWidth="1"/>
    <col min="4863" max="4883" width="7.6640625" customWidth="1"/>
    <col min="5117" max="5117" width="4.21875" customWidth="1"/>
    <col min="5119" max="5139" width="7.6640625" customWidth="1"/>
    <col min="5373" max="5373" width="4.21875" customWidth="1"/>
    <col min="5375" max="5395" width="7.6640625" customWidth="1"/>
    <col min="5629" max="5629" width="4.21875" customWidth="1"/>
    <col min="5631" max="5651" width="7.6640625" customWidth="1"/>
    <col min="5885" max="5885" width="4.21875" customWidth="1"/>
    <col min="5887" max="5907" width="7.6640625" customWidth="1"/>
    <col min="6141" max="6141" width="4.21875" customWidth="1"/>
    <col min="6143" max="6163" width="7.6640625" customWidth="1"/>
    <col min="6397" max="6397" width="4.21875" customWidth="1"/>
    <col min="6399" max="6419" width="7.6640625" customWidth="1"/>
    <col min="6653" max="6653" width="4.21875" customWidth="1"/>
    <col min="6655" max="6675" width="7.6640625" customWidth="1"/>
    <col min="6909" max="6909" width="4.21875" customWidth="1"/>
    <col min="6911" max="6931" width="7.6640625" customWidth="1"/>
    <col min="7165" max="7165" width="4.21875" customWidth="1"/>
    <col min="7167" max="7187" width="7.6640625" customWidth="1"/>
    <col min="7421" max="7421" width="4.21875" customWidth="1"/>
    <col min="7423" max="7443" width="7.6640625" customWidth="1"/>
    <col min="7677" max="7677" width="4.21875" customWidth="1"/>
    <col min="7679" max="7699" width="7.6640625" customWidth="1"/>
    <col min="7933" max="7933" width="4.21875" customWidth="1"/>
    <col min="7935" max="7955" width="7.6640625" customWidth="1"/>
    <col min="8189" max="8189" width="4.21875" customWidth="1"/>
    <col min="8191" max="8211" width="7.6640625" customWidth="1"/>
    <col min="8445" max="8445" width="4.21875" customWidth="1"/>
    <col min="8447" max="8467" width="7.6640625" customWidth="1"/>
    <col min="8701" max="8701" width="4.21875" customWidth="1"/>
    <col min="8703" max="8723" width="7.6640625" customWidth="1"/>
    <col min="8957" max="8957" width="4.21875" customWidth="1"/>
    <col min="8959" max="8979" width="7.6640625" customWidth="1"/>
    <col min="9213" max="9213" width="4.21875" customWidth="1"/>
    <col min="9215" max="9235" width="7.6640625" customWidth="1"/>
    <col min="9469" max="9469" width="4.21875" customWidth="1"/>
    <col min="9471" max="9491" width="7.6640625" customWidth="1"/>
    <col min="9725" max="9725" width="4.21875" customWidth="1"/>
    <col min="9727" max="9747" width="7.6640625" customWidth="1"/>
    <col min="9981" max="9981" width="4.21875" customWidth="1"/>
    <col min="9983" max="10003" width="7.6640625" customWidth="1"/>
    <col min="10237" max="10237" width="4.21875" customWidth="1"/>
    <col min="10239" max="10259" width="7.6640625" customWidth="1"/>
    <col min="10493" max="10493" width="4.21875" customWidth="1"/>
    <col min="10495" max="10515" width="7.6640625" customWidth="1"/>
    <col min="10749" max="10749" width="4.21875" customWidth="1"/>
    <col min="10751" max="10771" width="7.6640625" customWidth="1"/>
    <col min="11005" max="11005" width="4.21875" customWidth="1"/>
    <col min="11007" max="11027" width="7.6640625" customWidth="1"/>
    <col min="11261" max="11261" width="4.21875" customWidth="1"/>
    <col min="11263" max="11283" width="7.6640625" customWidth="1"/>
    <col min="11517" max="11517" width="4.21875" customWidth="1"/>
    <col min="11519" max="11539" width="7.6640625" customWidth="1"/>
    <col min="11773" max="11773" width="4.21875" customWidth="1"/>
    <col min="11775" max="11795" width="7.6640625" customWidth="1"/>
    <col min="12029" max="12029" width="4.21875" customWidth="1"/>
    <col min="12031" max="12051" width="7.6640625" customWidth="1"/>
    <col min="12285" max="12285" width="4.21875" customWidth="1"/>
    <col min="12287" max="12307" width="7.6640625" customWidth="1"/>
    <col min="12541" max="12541" width="4.21875" customWidth="1"/>
    <col min="12543" max="12563" width="7.6640625" customWidth="1"/>
    <col min="12797" max="12797" width="4.21875" customWidth="1"/>
    <col min="12799" max="12819" width="7.6640625" customWidth="1"/>
    <col min="13053" max="13053" width="4.21875" customWidth="1"/>
    <col min="13055" max="13075" width="7.6640625" customWidth="1"/>
    <col min="13309" max="13309" width="4.21875" customWidth="1"/>
    <col min="13311" max="13331" width="7.6640625" customWidth="1"/>
    <col min="13565" max="13565" width="4.21875" customWidth="1"/>
    <col min="13567" max="13587" width="7.6640625" customWidth="1"/>
    <col min="13821" max="13821" width="4.21875" customWidth="1"/>
    <col min="13823" max="13843" width="7.6640625" customWidth="1"/>
    <col min="14077" max="14077" width="4.21875" customWidth="1"/>
    <col min="14079" max="14099" width="7.6640625" customWidth="1"/>
    <col min="14333" max="14333" width="4.21875" customWidth="1"/>
    <col min="14335" max="14355" width="7.6640625" customWidth="1"/>
    <col min="14589" max="14589" width="4.21875" customWidth="1"/>
    <col min="14591" max="14611" width="7.6640625" customWidth="1"/>
    <col min="14845" max="14845" width="4.21875" customWidth="1"/>
    <col min="14847" max="14867" width="7.6640625" customWidth="1"/>
    <col min="15101" max="15101" width="4.21875" customWidth="1"/>
    <col min="15103" max="15123" width="7.6640625" customWidth="1"/>
    <col min="15357" max="15357" width="4.21875" customWidth="1"/>
    <col min="15359" max="15379" width="7.6640625" customWidth="1"/>
    <col min="15613" max="15613" width="4.21875" customWidth="1"/>
    <col min="15615" max="15635" width="7.6640625" customWidth="1"/>
    <col min="15869" max="15869" width="4.21875" customWidth="1"/>
    <col min="15871" max="15891" width="7.6640625" customWidth="1"/>
    <col min="16125" max="16125" width="4.21875" customWidth="1"/>
    <col min="16127" max="16147" width="7.6640625" customWidth="1"/>
  </cols>
  <sheetData>
    <row r="1" spans="1:60" s="2" customFormat="1" ht="13.5" customHeight="1" x14ac:dyDescent="0.3">
      <c r="A1" s="1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</row>
    <row r="2" spans="1:60" s="2" customFormat="1" ht="17.25" customHeight="1" x14ac:dyDescent="0.3">
      <c r="A2" s="1"/>
      <c r="B2" s="22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"/>
      <c r="T2" s="4"/>
      <c r="U2" s="4"/>
      <c r="V2" s="5" t="s">
        <v>0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s="2" customFormat="1" ht="13.8" thickBot="1" x14ac:dyDescent="0.25">
      <c r="A3" s="1"/>
      <c r="T3" s="4"/>
      <c r="U3" s="4" t="s">
        <v>1</v>
      </c>
      <c r="V3" s="4"/>
    </row>
    <row r="4" spans="1:60" s="14" customFormat="1" ht="20.25" customHeight="1" x14ac:dyDescent="0.2">
      <c r="A4" s="23" t="s">
        <v>2</v>
      </c>
      <c r="B4" s="25" t="s">
        <v>3</v>
      </c>
      <c r="C4" s="18"/>
      <c r="D4" s="26"/>
      <c r="E4" s="27" t="s">
        <v>4</v>
      </c>
      <c r="F4" s="28"/>
      <c r="G4" s="29"/>
      <c r="H4" s="30" t="s">
        <v>5</v>
      </c>
      <c r="I4" s="18"/>
      <c r="J4" s="31"/>
      <c r="K4" s="25" t="s">
        <v>6</v>
      </c>
      <c r="L4" s="18"/>
      <c r="M4" s="26"/>
      <c r="N4" s="32" t="s">
        <v>7</v>
      </c>
      <c r="O4" s="18"/>
      <c r="P4" s="33"/>
      <c r="Q4" s="30" t="s">
        <v>5</v>
      </c>
      <c r="R4" s="18"/>
      <c r="S4" s="33"/>
      <c r="T4" s="18" t="s">
        <v>8</v>
      </c>
      <c r="U4" s="19"/>
      <c r="V4" s="20"/>
    </row>
    <row r="5" spans="1:60" s="15" customFormat="1" ht="14.25" customHeight="1" thickBot="1" x14ac:dyDescent="0.25">
      <c r="A5" s="24"/>
      <c r="B5" s="77"/>
      <c r="C5" s="78" t="s">
        <v>9</v>
      </c>
      <c r="D5" s="6" t="s">
        <v>10</v>
      </c>
      <c r="E5" s="79"/>
      <c r="F5" s="78" t="s">
        <v>9</v>
      </c>
      <c r="G5" s="7" t="s">
        <v>10</v>
      </c>
      <c r="H5" s="79"/>
      <c r="I5" s="78" t="s">
        <v>9</v>
      </c>
      <c r="J5" s="8" t="s">
        <v>10</v>
      </c>
      <c r="K5" s="77"/>
      <c r="L5" s="78" t="s">
        <v>9</v>
      </c>
      <c r="M5" s="6" t="s">
        <v>10</v>
      </c>
      <c r="N5" s="79"/>
      <c r="O5" s="78" t="s">
        <v>9</v>
      </c>
      <c r="P5" s="7" t="s">
        <v>10</v>
      </c>
      <c r="Q5" s="79"/>
      <c r="R5" s="78" t="s">
        <v>9</v>
      </c>
      <c r="S5" s="7" t="s">
        <v>10</v>
      </c>
      <c r="T5" s="79"/>
      <c r="U5" s="80" t="s">
        <v>11</v>
      </c>
      <c r="V5" s="8" t="s">
        <v>10</v>
      </c>
    </row>
    <row r="6" spans="1:60" s="16" customFormat="1" ht="20.100000000000001" customHeight="1" x14ac:dyDescent="0.2">
      <c r="A6" s="9" t="s">
        <v>12</v>
      </c>
      <c r="B6" s="34">
        <v>5171.1427000000003</v>
      </c>
      <c r="C6" s="35">
        <f>B6/4996.4919</f>
        <v>1.0349546849060238</v>
      </c>
      <c r="D6" s="36">
        <f>B6/4590.1566</f>
        <v>1.1265721740299666</v>
      </c>
      <c r="E6" s="37">
        <v>6270.3851000000004</v>
      </c>
      <c r="F6" s="35">
        <f>E6/6093.2656</f>
        <v>1.0290680747610936</v>
      </c>
      <c r="G6" s="38">
        <f>E6/5342.5287</f>
        <v>1.1736736388519542</v>
      </c>
      <c r="H6" s="39">
        <f>SUM(B6,E6)</f>
        <v>11441.5278</v>
      </c>
      <c r="I6" s="35">
        <f>H6/9932.6853</f>
        <v>1.1519068061081126</v>
      </c>
      <c r="J6" s="40">
        <f>H6/10814.5743</f>
        <v>1.0579730170238879</v>
      </c>
      <c r="K6" s="34">
        <v>596.33040000000005</v>
      </c>
      <c r="L6" s="35">
        <f>K6/624.9874</f>
        <v>0.95414787562117265</v>
      </c>
      <c r="M6" s="36">
        <f>K6/592.3512</f>
        <v>1.0067176364291996</v>
      </c>
      <c r="N6" s="37">
        <v>206.0967</v>
      </c>
      <c r="O6" s="35">
        <f>N6/168.3906</f>
        <v>1.223920456367517</v>
      </c>
      <c r="P6" s="38">
        <f>N6/138.5761</f>
        <v>1.4872456361522659</v>
      </c>
      <c r="Q6" s="39">
        <f>SUM(K6,N6)</f>
        <v>802.42710000000011</v>
      </c>
      <c r="R6" s="35">
        <f>Q6/730.9273</f>
        <v>1.0978206724526505</v>
      </c>
      <c r="S6" s="41">
        <f>Q6/789.0418</f>
        <v>1.0169639935425476</v>
      </c>
      <c r="T6" s="42">
        <f>SUM(H6,Q6)</f>
        <v>12243.954900000001</v>
      </c>
      <c r="U6" s="43">
        <f>T6/10663.6126</f>
        <v>1.1481995229271551</v>
      </c>
      <c r="V6" s="40">
        <f>T6/11603.6161</f>
        <v>1.0551844178988308</v>
      </c>
    </row>
    <row r="7" spans="1:60" s="16" customFormat="1" ht="20.100000000000001" customHeight="1" x14ac:dyDescent="0.2">
      <c r="A7" s="10" t="s">
        <v>13</v>
      </c>
      <c r="B7" s="44">
        <v>7108.4429</v>
      </c>
      <c r="C7" s="45">
        <f>B7/7016.2992</f>
        <v>1.0131328065370986</v>
      </c>
      <c r="D7" s="46">
        <f>B7/6871.5709</f>
        <v>1.0344713026245571</v>
      </c>
      <c r="E7" s="47">
        <v>5515.3185999999996</v>
      </c>
      <c r="F7" s="45">
        <f>E7/5439.0784</f>
        <v>1.0140171173116386</v>
      </c>
      <c r="G7" s="48">
        <f>E7/5533.7209</f>
        <v>0.99667451605663726</v>
      </c>
      <c r="H7" s="49">
        <f t="shared" ref="H7:H13" si="0">SUM(B7,E7)</f>
        <v>12623.761500000001</v>
      </c>
      <c r="I7" s="45">
        <f>H7/12405.2918</f>
        <v>1.0176110085536239</v>
      </c>
      <c r="J7" s="50">
        <f>H7/13039.0519</f>
        <v>0.96815026098638357</v>
      </c>
      <c r="K7" s="44">
        <v>620.173</v>
      </c>
      <c r="L7" s="45">
        <f>K7/657.8431</f>
        <v>0.94273695353800924</v>
      </c>
      <c r="M7" s="46">
        <f>K7/581.8308</f>
        <v>1.0658992270605132</v>
      </c>
      <c r="N7" s="47">
        <v>426.69659999999999</v>
      </c>
      <c r="O7" s="45">
        <f>N7/438.9755</f>
        <v>0.97202827948256787</v>
      </c>
      <c r="P7" s="48">
        <f>N7/421.5528</f>
        <v>1.0122020302083155</v>
      </c>
      <c r="Q7" s="49">
        <f t="shared" ref="Q7:Q13" si="1">SUM(K7,N7)</f>
        <v>1046.8696</v>
      </c>
      <c r="R7" s="45">
        <f>Q7/1003.3836</f>
        <v>1.0433393569518179</v>
      </c>
      <c r="S7" s="48">
        <f>Q7/987.8308</f>
        <v>1.0597661056934042</v>
      </c>
      <c r="T7" s="51">
        <f t="shared" ref="T7:T13" si="2">SUM(H7,Q7)</f>
        <v>13670.631100000001</v>
      </c>
      <c r="U7" s="52">
        <f>T7/13408.6754</f>
        <v>1.0195362846952056</v>
      </c>
      <c r="V7" s="50">
        <f>T7/14026.8827</f>
        <v>0.97460222576752564</v>
      </c>
    </row>
    <row r="8" spans="1:60" s="16" customFormat="1" ht="20.100000000000001" customHeight="1" x14ac:dyDescent="0.2">
      <c r="A8" s="10" t="s">
        <v>14</v>
      </c>
      <c r="B8" s="34">
        <v>1321.7889</v>
      </c>
      <c r="C8" s="35">
        <f>B8/1544.784</f>
        <v>0.8556464204704346</v>
      </c>
      <c r="D8" s="53">
        <f>B8/1504.8876</f>
        <v>0.87833064741845168</v>
      </c>
      <c r="E8" s="54">
        <v>446.91770000000002</v>
      </c>
      <c r="F8" s="35">
        <f>E8/446.2438</f>
        <v>1.0015101610375314</v>
      </c>
      <c r="G8" s="41">
        <f>E8/543.5028</f>
        <v>0.8222914398969059</v>
      </c>
      <c r="H8" s="55">
        <f t="shared" si="0"/>
        <v>1768.7066</v>
      </c>
      <c r="I8" s="35">
        <f>H8/2048.3904</f>
        <v>0.86346167214999625</v>
      </c>
      <c r="J8" s="40">
        <f>H8/2126.3044</f>
        <v>0.83182191599659949</v>
      </c>
      <c r="K8" s="34">
        <v>295.83370000000002</v>
      </c>
      <c r="L8" s="35">
        <f>K8/259.7106</f>
        <v>1.1390898176662794</v>
      </c>
      <c r="M8" s="53">
        <f>K8/252.3206</f>
        <v>1.1724516349437977</v>
      </c>
      <c r="N8" s="54">
        <v>123.72410000000001</v>
      </c>
      <c r="O8" s="35">
        <f>N8/113.0893</f>
        <v>1.0940389585928998</v>
      </c>
      <c r="P8" s="41">
        <f>N8/117.9883</f>
        <v>1.0486132947080347</v>
      </c>
      <c r="Q8" s="55">
        <f t="shared" si="1"/>
        <v>419.55780000000004</v>
      </c>
      <c r="R8" s="35">
        <f>Q8/370.3089</f>
        <v>1.1329941030312802</v>
      </c>
      <c r="S8" s="41">
        <f>Q8/418.6794</f>
        <v>1.0020980253626046</v>
      </c>
      <c r="T8" s="42">
        <f t="shared" si="2"/>
        <v>2188.2644</v>
      </c>
      <c r="U8" s="43">
        <f>T8/2418.6993</f>
        <v>0.90472776008162725</v>
      </c>
      <c r="V8" s="40">
        <f>T8/2544.9838</f>
        <v>0.85983431407304045</v>
      </c>
    </row>
    <row r="9" spans="1:60" s="16" customFormat="1" ht="20.100000000000001" customHeight="1" x14ac:dyDescent="0.2">
      <c r="A9" s="11" t="s">
        <v>15</v>
      </c>
      <c r="B9" s="44">
        <v>17.578099999999999</v>
      </c>
      <c r="C9" s="45">
        <f>B9/33.1971</f>
        <v>0.52950709549930564</v>
      </c>
      <c r="D9" s="46">
        <f>B9/55.5451</f>
        <v>0.31646535878052251</v>
      </c>
      <c r="E9" s="47">
        <v>16.6448</v>
      </c>
      <c r="F9" s="45">
        <f>E9/1.4606</f>
        <v>11.395864713131591</v>
      </c>
      <c r="G9" s="48">
        <f>E9/29.9465</f>
        <v>0.55581787521079262</v>
      </c>
      <c r="H9" s="49">
        <f t="shared" si="0"/>
        <v>34.222899999999996</v>
      </c>
      <c r="I9" s="45">
        <f>H9/85.4916</f>
        <v>0.40030716468050653</v>
      </c>
      <c r="J9" s="50">
        <f>H9/80.8995</f>
        <v>0.42302980858966982</v>
      </c>
      <c r="K9" s="44">
        <v>274.06670000000003</v>
      </c>
      <c r="L9" s="45">
        <f>K9/223.0388</f>
        <v>1.2287848571638658</v>
      </c>
      <c r="M9" s="46">
        <f>K9/262.8843</f>
        <v>1.0425373443754535</v>
      </c>
      <c r="N9" s="47">
        <v>275.68340000000001</v>
      </c>
      <c r="O9" s="45">
        <f>N9/244.8578</f>
        <v>1.1258918441642456</v>
      </c>
      <c r="P9" s="48">
        <f>N9/253.7811</f>
        <v>1.0863039052159518</v>
      </c>
      <c r="Q9" s="49">
        <f t="shared" si="1"/>
        <v>549.75009999999997</v>
      </c>
      <c r="R9" s="45">
        <f>Q9/516.6654</f>
        <v>1.0640350602149864</v>
      </c>
      <c r="S9" s="56">
        <f>Q9/650.3276</f>
        <v>0.84534333157627017</v>
      </c>
      <c r="T9" s="57">
        <f t="shared" si="2"/>
        <v>583.97299999999996</v>
      </c>
      <c r="U9" s="52">
        <f>T9/602.157</f>
        <v>0.96980189551894258</v>
      </c>
      <c r="V9" s="50">
        <f>T9/731.2271</f>
        <v>0.79862056534830284</v>
      </c>
    </row>
    <row r="10" spans="1:60" s="16" customFormat="1" ht="20.100000000000001" customHeight="1" x14ac:dyDescent="0.2">
      <c r="A10" s="10" t="s">
        <v>16</v>
      </c>
      <c r="B10" s="34">
        <v>1597.0472</v>
      </c>
      <c r="C10" s="35">
        <f>B10/1936.0982</f>
        <v>0.82487923391489137</v>
      </c>
      <c r="D10" s="53">
        <f>B10/1905.6818</f>
        <v>0.83804505033316679</v>
      </c>
      <c r="E10" s="54">
        <v>255.17619999999999</v>
      </c>
      <c r="F10" s="35">
        <f>E10/351.863</f>
        <v>0.7252146431991997</v>
      </c>
      <c r="G10" s="41">
        <f>E10/404.5865</f>
        <v>0.63070863708996716</v>
      </c>
      <c r="H10" s="55">
        <f t="shared" si="0"/>
        <v>1852.2233999999999</v>
      </c>
      <c r="I10" s="35">
        <f>H10/2310.2683</f>
        <v>0.8017351924016789</v>
      </c>
      <c r="J10" s="40">
        <f>H10/2327.1045</f>
        <v>0.79593477645718103</v>
      </c>
      <c r="K10" s="34">
        <v>1352.9054000000001</v>
      </c>
      <c r="L10" s="35">
        <f>K10/1334.4116</f>
        <v>1.0138591421117744</v>
      </c>
      <c r="M10" s="53">
        <f>K10/1188.0082</f>
        <v>1.1388013988455636</v>
      </c>
      <c r="N10" s="54">
        <v>556.95330000000001</v>
      </c>
      <c r="O10" s="35">
        <f>N10/559.5295</f>
        <v>0.99539577448552763</v>
      </c>
      <c r="P10" s="41">
        <f>N10/523.2512</f>
        <v>1.0644090257222534</v>
      </c>
      <c r="Q10" s="55">
        <f t="shared" si="1"/>
        <v>1909.8587000000002</v>
      </c>
      <c r="R10" s="35">
        <f>Q10/1711.2594</f>
        <v>1.1160544684224964</v>
      </c>
      <c r="S10" s="41">
        <f>Q10/1904.4428</f>
        <v>1.0028438239258224</v>
      </c>
      <c r="T10" s="42">
        <f t="shared" si="2"/>
        <v>3762.0821000000001</v>
      </c>
      <c r="U10" s="43">
        <f>T10/4021.5277</f>
        <v>0.93548581052916779</v>
      </c>
      <c r="V10" s="40">
        <f>T10/4231.5473</f>
        <v>0.88905590160837855</v>
      </c>
    </row>
    <row r="11" spans="1:60" s="16" customFormat="1" ht="20.100000000000001" customHeight="1" x14ac:dyDescent="0.2">
      <c r="A11" s="11" t="s">
        <v>17</v>
      </c>
      <c r="B11" s="44">
        <v>1645.492</v>
      </c>
      <c r="C11" s="45">
        <f>B11/2020.9813</f>
        <v>0.81420446591960061</v>
      </c>
      <c r="D11" s="46">
        <f>B11/1493.9312</f>
        <v>1.101450990514155</v>
      </c>
      <c r="E11" s="47">
        <v>268.70670000000001</v>
      </c>
      <c r="F11" s="45">
        <f>E11/321.221</f>
        <v>0.8365166038334978</v>
      </c>
      <c r="G11" s="48">
        <f>E11/236.4597</f>
        <v>1.1363741897667976</v>
      </c>
      <c r="H11" s="49">
        <f t="shared" si="0"/>
        <v>1914.1986999999999</v>
      </c>
      <c r="I11" s="45">
        <f>H11/1730.3909</f>
        <v>1.106223281687392</v>
      </c>
      <c r="J11" s="50">
        <f>H11/2062.8082</f>
        <v>0.92795767439745491</v>
      </c>
      <c r="K11" s="44">
        <v>145.95140000000001</v>
      </c>
      <c r="L11" s="45">
        <f>K11/151.6989</f>
        <v>0.96211244775011551</v>
      </c>
      <c r="M11" s="46">
        <f>K11/151.6859</f>
        <v>0.96219490407480202</v>
      </c>
      <c r="N11" s="47">
        <v>565.93790000000001</v>
      </c>
      <c r="O11" s="45">
        <f>N11/643.5321</f>
        <v>0.87942450734003785</v>
      </c>
      <c r="P11" s="48">
        <f>N11/580.217</f>
        <v>0.97539006957741681</v>
      </c>
      <c r="Q11" s="49">
        <f t="shared" si="1"/>
        <v>711.88930000000005</v>
      </c>
      <c r="R11" s="45">
        <f>Q11/731.9029</f>
        <v>0.9726553891233386</v>
      </c>
      <c r="S11" s="48">
        <f>Q11/740.5765</f>
        <v>0.96126369119192956</v>
      </c>
      <c r="T11" s="51">
        <f t="shared" si="2"/>
        <v>2626.0879999999997</v>
      </c>
      <c r="U11" s="52">
        <f>T11/2462.2938</f>
        <v>1.0665209813711101</v>
      </c>
      <c r="V11" s="50">
        <f>T11/2803.3847</f>
        <v>0.93675620046010799</v>
      </c>
    </row>
    <row r="12" spans="1:60" s="16" customFormat="1" ht="20.100000000000001" customHeight="1" x14ac:dyDescent="0.2">
      <c r="A12" s="10" t="s">
        <v>18</v>
      </c>
      <c r="B12" s="34">
        <v>2593.5138999999999</v>
      </c>
      <c r="C12" s="35">
        <f>B12/2519.2995</f>
        <v>1.0294583474493604</v>
      </c>
      <c r="D12" s="53">
        <f>B12/1986.0594</f>
        <v>1.3058591802440551</v>
      </c>
      <c r="E12" s="54">
        <v>480.51819999999998</v>
      </c>
      <c r="F12" s="35">
        <f>E12/489.3407</f>
        <v>0.98197063927034878</v>
      </c>
      <c r="G12" s="41">
        <f>E12/234.1595</f>
        <v>2.0520978222109285</v>
      </c>
      <c r="H12" s="55">
        <f t="shared" si="0"/>
        <v>3074.0320999999999</v>
      </c>
      <c r="I12" s="35">
        <f>H12/2220.2189</f>
        <v>1.3845626212802711</v>
      </c>
      <c r="J12" s="40">
        <f>H12/2882.7806</f>
        <v>1.0663427178606655</v>
      </c>
      <c r="K12" s="34">
        <v>207.0744</v>
      </c>
      <c r="L12" s="35">
        <f>K12/211.9084</f>
        <v>0.97718825681284927</v>
      </c>
      <c r="M12" s="53">
        <f>K12/144.294</f>
        <v>1.4350866979916004</v>
      </c>
      <c r="N12" s="54">
        <v>282.71339999999998</v>
      </c>
      <c r="O12" s="35">
        <f>N12/372.2598</f>
        <v>0.75945186668020559</v>
      </c>
      <c r="P12" s="41">
        <f>N12/297.6564</f>
        <v>0.94979782057432649</v>
      </c>
      <c r="Q12" s="55">
        <f t="shared" si="1"/>
        <v>489.78779999999995</v>
      </c>
      <c r="R12" s="35">
        <f>Q12/441.9504</f>
        <v>1.1082415583287173</v>
      </c>
      <c r="S12" s="41">
        <f>Q12/583.7865</f>
        <v>0.83898445750287121</v>
      </c>
      <c r="T12" s="42">
        <f t="shared" si="2"/>
        <v>3563.8199</v>
      </c>
      <c r="U12" s="43">
        <f>T12/2662.1693</f>
        <v>1.3386901802225726</v>
      </c>
      <c r="V12" s="40">
        <f>T12/3466.5671</f>
        <v>1.0280544980652473</v>
      </c>
    </row>
    <row r="13" spans="1:60" s="16" customFormat="1" ht="20.100000000000001" customHeight="1" thickBot="1" x14ac:dyDescent="0.25">
      <c r="A13" s="12" t="s">
        <v>19</v>
      </c>
      <c r="B13" s="58">
        <v>33.3401</v>
      </c>
      <c r="C13" s="59">
        <f>B13/33.5958</f>
        <v>0.99238892956857705</v>
      </c>
      <c r="D13" s="60">
        <f>B13/28.6451</f>
        <v>1.1639023777190514</v>
      </c>
      <c r="E13" s="61">
        <v>1.1684000000000001</v>
      </c>
      <c r="F13" s="59">
        <f>E13/1.8689</f>
        <v>0.6251805875113704</v>
      </c>
      <c r="G13" s="62">
        <f>E13/8.2792</f>
        <v>0.1411247463523046</v>
      </c>
      <c r="H13" s="63">
        <f t="shared" si="0"/>
        <v>34.508499999999998</v>
      </c>
      <c r="I13" s="59">
        <f>H13/36.9243</f>
        <v>0.9345742505612834</v>
      </c>
      <c r="J13" s="64">
        <f>H13/31.0593</f>
        <v>1.1110520842388592</v>
      </c>
      <c r="K13" s="58">
        <v>170.96289999999999</v>
      </c>
      <c r="L13" s="59">
        <f>K13/170.2935</f>
        <v>1.0039308605437083</v>
      </c>
      <c r="M13" s="60">
        <f>K13/182.4942</f>
        <v>0.93681278637896426</v>
      </c>
      <c r="N13" s="61">
        <v>66.819500000000005</v>
      </c>
      <c r="O13" s="59">
        <f>N13/68.7301</f>
        <v>0.97220140811667688</v>
      </c>
      <c r="P13" s="62">
        <f>N13/69.4169</f>
        <v>0.96258259876197305</v>
      </c>
      <c r="Q13" s="63">
        <f t="shared" si="1"/>
        <v>237.7824</v>
      </c>
      <c r="R13" s="59">
        <f>Q13/251.9111</f>
        <v>0.94391394424461639</v>
      </c>
      <c r="S13" s="62">
        <f>Q13/248.1016</f>
        <v>0.95840736214518574</v>
      </c>
      <c r="T13" s="65">
        <f t="shared" si="2"/>
        <v>272.29089999999997</v>
      </c>
      <c r="U13" s="66">
        <f>T13/288.8354</f>
        <v>0.94271997130545626</v>
      </c>
      <c r="V13" s="64">
        <f>T13/279.1609</f>
        <v>0.97539053642540896</v>
      </c>
    </row>
    <row r="14" spans="1:60" s="16" customFormat="1" ht="20.100000000000001" customHeight="1" thickTop="1" thickBot="1" x14ac:dyDescent="0.25">
      <c r="A14" s="13" t="s">
        <v>20</v>
      </c>
      <c r="B14" s="67">
        <f>SUM(B6:B13)</f>
        <v>19488.345800000003</v>
      </c>
      <c r="C14" s="68">
        <f>B14/20100.747</f>
        <v>0.96953341087274036</v>
      </c>
      <c r="D14" s="69">
        <f>B14/18436.4777</f>
        <v>1.0570536366607599</v>
      </c>
      <c r="E14" s="70">
        <f>SUM(E6:E13)</f>
        <v>13254.835700000001</v>
      </c>
      <c r="F14" s="68">
        <f>E14/13144.342</f>
        <v>1.0084061796322707</v>
      </c>
      <c r="G14" s="71">
        <f>E14/12333.1838</f>
        <v>1.0747294384763812</v>
      </c>
      <c r="H14" s="72">
        <f>SUM(H6:H13)</f>
        <v>32743.181500000002</v>
      </c>
      <c r="I14" s="68">
        <f>H14/30769.6615</f>
        <v>1.0641385021411434</v>
      </c>
      <c r="J14" s="73">
        <f>H14/33364.5826</f>
        <v>0.9813754271273275</v>
      </c>
      <c r="K14" s="67">
        <f>SUM(K6:K13)</f>
        <v>3663.2979000000005</v>
      </c>
      <c r="L14" s="68">
        <f>K14/3633.8923</f>
        <v>1.0080920394916493</v>
      </c>
      <c r="M14" s="69">
        <f>K14/3355.8692</f>
        <v>1.0916092617674134</v>
      </c>
      <c r="N14" s="70">
        <f>SUM(N6:N13)</f>
        <v>2504.6249000000003</v>
      </c>
      <c r="O14" s="68">
        <f>N14/2609.3647</f>
        <v>0.95986003796249719</v>
      </c>
      <c r="P14" s="71">
        <f>N14/2402.4398</f>
        <v>1.0425338857606339</v>
      </c>
      <c r="Q14" s="72">
        <f>SUM(Q6:Q13)</f>
        <v>6167.9228000000012</v>
      </c>
      <c r="R14" s="68">
        <f>Q14/5758.309</f>
        <v>1.0711343903218811</v>
      </c>
      <c r="S14" s="71">
        <f>Q14/6322.787</f>
        <v>0.97550697184643431</v>
      </c>
      <c r="T14" s="74">
        <f>SUM(T6:T13)</f>
        <v>38911.104299999999</v>
      </c>
      <c r="U14" s="75">
        <f>T14/36527.9705</f>
        <v>1.0652413415631727</v>
      </c>
      <c r="V14" s="76">
        <f>T14/39687.3696</f>
        <v>0.98044049510401421</v>
      </c>
    </row>
  </sheetData>
  <mergeCells count="10">
    <mergeCell ref="T4:V4"/>
    <mergeCell ref="AO1:BH2"/>
    <mergeCell ref="B2:R2"/>
    <mergeCell ref="A4:A5"/>
    <mergeCell ref="B4:D4"/>
    <mergeCell ref="E4:G4"/>
    <mergeCell ref="H4:J4"/>
    <mergeCell ref="K4:M4"/>
    <mergeCell ref="N4:P4"/>
    <mergeCell ref="Q4:S4"/>
  </mergeCells>
  <phoneticPr fontId="6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輸移出入別</vt:lpstr>
      <vt:lpstr>輸移出入別!Print_Area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2023-12-27T05:05:33Z</dcterms:modified>
</cp:coreProperties>
</file>