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0" documentId="13_ncr:1_{22B5CA99-DF1B-404E-A2D1-8874FA352740}" xr6:coauthVersionLast="47" xr6:coauthVersionMax="47" xr10:uidLastSave="{00000000-0000-0000-0000-000000000000}"/>
  <bookViews>
    <workbookView xWindow="-120" yWindow="-120" windowWidth="29040" windowHeight="15720" tabRatio="708" xr2:uid="{00000000-000D-0000-FFFF-FFFF00000000}"/>
  </bookViews>
  <sheets>
    <sheet name="入力" sheetId="5" r:id="rId1"/>
    <sheet name="【印刷用】自動認可運賃料金表" sheetId="7" r:id="rId2"/>
    <sheet name="【印刷用】適用方法" sheetId="2" r:id="rId3"/>
    <sheet name="釧路" sheetId="18" r:id="rId4"/>
  </sheets>
  <definedNames>
    <definedName name="_1.28km">#REF!</definedName>
    <definedName name="_３０分">#REF!</definedName>
    <definedName name="A運賃">#REF!</definedName>
    <definedName name="B運賃">#REF!</definedName>
    <definedName name="C運賃">#REF!</definedName>
    <definedName name="Ｄ運賃">#REF!</definedName>
    <definedName name="E運賃">#REF!</definedName>
    <definedName name="F運賃">#REF!</definedName>
    <definedName name="G運賃">#REF!</definedName>
    <definedName name="H運賃">#REF!</definedName>
    <definedName name="m">#REF!</definedName>
    <definedName name="_xlnm.Print_Area" localSheetId="1">【印刷用】自動認可運賃料金表!$A$1:$L$48</definedName>
    <definedName name="_xlnm.Print_Area" localSheetId="2">【印刷用】適用方法!$A$1:$C$24</definedName>
    <definedName name="_xlnm.Print_Area" localSheetId="3">釧路!$A$1:$V$37</definedName>
    <definedName name="_xlnm.Print_Area" localSheetId="0">入力!$A$1:$D$31</definedName>
    <definedName name="円">#REF!</definedName>
    <definedName name="下限運賃">#REF!</definedName>
    <definedName name="上限運賃">#REF!</definedName>
    <definedName name="特定大型車">#REF!</definedName>
    <definedName name="秒">#REF!</definedName>
    <definedName name="普通車">#REF!</definedName>
    <definedName name="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5" i="18" l="1"/>
  <c r="G35" i="18"/>
  <c r="P35" i="18"/>
  <c r="B36" i="18"/>
  <c r="G36" i="18"/>
  <c r="P36" i="18"/>
  <c r="B37" i="18"/>
  <c r="G37" i="18"/>
  <c r="P37" i="18"/>
  <c r="B23" i="18"/>
  <c r="G23" i="18"/>
  <c r="B24" i="18"/>
  <c r="G24" i="18"/>
  <c r="B25" i="18"/>
  <c r="G25" i="18"/>
  <c r="B26" i="18"/>
  <c r="G26" i="18"/>
  <c r="M23" i="18"/>
  <c r="M24" i="18"/>
  <c r="M25" i="18"/>
  <c r="M26" i="18"/>
  <c r="B12" i="18"/>
  <c r="G12" i="18"/>
  <c r="M12" i="18"/>
  <c r="P12" i="18"/>
  <c r="B13" i="18"/>
  <c r="G13" i="18"/>
  <c r="M13" i="18"/>
  <c r="P13" i="18"/>
  <c r="B14" i="18"/>
  <c r="G14" i="18"/>
  <c r="M14" i="18"/>
  <c r="P14" i="18"/>
  <c r="F23" i="5" a="1"/>
  <c r="E23" i="5" a="1"/>
  <c r="E19" i="5" a="1"/>
  <c r="J6" i="5" a="1"/>
  <c r="E11" i="5" a="1"/>
  <c r="L19" i="5" a="1"/>
  <c r="F11" i="5" a="1"/>
  <c r="L7" i="5" a="1"/>
  <c r="E6" i="5" a="1"/>
  <c r="F19" i="5" a="1"/>
  <c r="E12" i="5" a="1"/>
  <c r="N6" i="5" a="1"/>
  <c r="H18" i="5" a="1"/>
  <c r="J19" i="5" a="1"/>
  <c r="P18" i="5" a="1"/>
  <c r="J7" i="5" a="1"/>
  <c r="H19" i="5" a="1"/>
  <c r="F24" i="5" a="1"/>
  <c r="L18" i="5" a="1"/>
  <c r="F6" i="5" a="1"/>
  <c r="F12" i="5" a="1"/>
  <c r="E18" i="5" a="1"/>
  <c r="P6" i="5" a="1"/>
  <c r="H6" i="5" a="1"/>
  <c r="N7" i="5" a="1"/>
  <c r="E24" i="5" a="1"/>
  <c r="P19" i="5" a="1"/>
  <c r="N19" i="5" a="1"/>
  <c r="J18" i="5" a="1"/>
  <c r="P7" i="5" a="1"/>
  <c r="L6" i="5" a="1"/>
  <c r="F18" i="5" a="1"/>
  <c r="N18" i="5" a="1"/>
  <c r="E7" i="5" a="1"/>
  <c r="H7" i="5" a="1"/>
  <c r="F7" i="5" a="1"/>
  <c r="F23" i="5" l="1"/>
  <c r="E23" i="5"/>
  <c r="N19" i="5"/>
  <c r="P19" i="5"/>
  <c r="E24" i="5"/>
  <c r="P6" i="5"/>
  <c r="E11" i="5"/>
  <c r="F6" i="5"/>
  <c r="F24" i="5"/>
  <c r="E7" i="5"/>
  <c r="P18" i="5"/>
  <c r="L6" i="5"/>
  <c r="N6" i="5"/>
  <c r="E6" i="5"/>
  <c r="F11" i="5"/>
  <c r="H6" i="5"/>
  <c r="E18" i="5"/>
  <c r="J6" i="5"/>
  <c r="F7" i="5"/>
  <c r="H7" i="5"/>
  <c r="J7" i="5"/>
  <c r="F18" i="5"/>
  <c r="H18" i="5"/>
  <c r="J18" i="5"/>
  <c r="F19" i="5"/>
  <c r="L7" i="5"/>
  <c r="N7" i="5"/>
  <c r="L19" i="5"/>
  <c r="F12" i="5"/>
  <c r="E19" i="5"/>
  <c r="L18" i="5"/>
  <c r="H19" i="5"/>
  <c r="N18" i="5"/>
  <c r="J19" i="5"/>
  <c r="P7" i="5"/>
  <c r="E12" i="5"/>
  <c r="P34" i="18"/>
  <c r="G34" i="18"/>
  <c r="B34" i="18"/>
  <c r="P33" i="18"/>
  <c r="G33" i="18"/>
  <c r="B33" i="18"/>
  <c r="P32" i="18"/>
  <c r="G32" i="18"/>
  <c r="C32" i="18"/>
  <c r="Y32" i="18" s="1"/>
  <c r="X32" i="18" s="1"/>
  <c r="E32" i="18" s="1"/>
  <c r="AA32" i="18" s="1"/>
  <c r="Z32" i="18" s="1"/>
  <c r="K32" i="18" s="1"/>
  <c r="B32" i="18"/>
  <c r="U31" i="18"/>
  <c r="P31" i="18"/>
  <c r="B31" i="18"/>
  <c r="M22" i="18"/>
  <c r="G22" i="18"/>
  <c r="B22" i="18"/>
  <c r="M21" i="18"/>
  <c r="G21" i="18"/>
  <c r="B21" i="18"/>
  <c r="M20" i="18"/>
  <c r="G20" i="18"/>
  <c r="C20" i="18"/>
  <c r="C21" i="18" s="1"/>
  <c r="Y21" i="18" s="1"/>
  <c r="X21" i="18" s="1"/>
  <c r="E21" i="18" s="1"/>
  <c r="AA21" i="18" s="1"/>
  <c r="Z21" i="18" s="1"/>
  <c r="K21" i="18" s="1"/>
  <c r="B20" i="18"/>
  <c r="U19" i="18"/>
  <c r="B19" i="18"/>
  <c r="P11" i="18"/>
  <c r="M11" i="18"/>
  <c r="G11" i="18"/>
  <c r="B11" i="18"/>
  <c r="P10" i="18"/>
  <c r="M10" i="18"/>
  <c r="G10" i="18"/>
  <c r="B10" i="18"/>
  <c r="P9" i="18"/>
  <c r="M9" i="18"/>
  <c r="G9" i="18"/>
  <c r="B9" i="18"/>
  <c r="P8" i="18"/>
  <c r="M8" i="18"/>
  <c r="G8" i="18"/>
  <c r="C8" i="18"/>
  <c r="Y8" i="18" s="1"/>
  <c r="X8" i="18" s="1"/>
  <c r="E8" i="18" s="1"/>
  <c r="AA8" i="18" s="1"/>
  <c r="Z8" i="18" s="1"/>
  <c r="K8" i="18" s="1"/>
  <c r="B8" i="18"/>
  <c r="U7" i="18"/>
  <c r="P7" i="18"/>
  <c r="AC20" i="18" l="1"/>
  <c r="AB20" i="18" s="1"/>
  <c r="R20" i="18" s="1"/>
  <c r="U20" i="18" s="1"/>
  <c r="C9" i="18"/>
  <c r="Y9" i="18" s="1"/>
  <c r="X9" i="18" s="1"/>
  <c r="E9" i="18" s="1"/>
  <c r="AA9" i="18" s="1"/>
  <c r="Z9" i="18" s="1"/>
  <c r="K9" i="18" s="1"/>
  <c r="Y20" i="18"/>
  <c r="X20" i="18" s="1"/>
  <c r="E20" i="18" s="1"/>
  <c r="AA20" i="18" s="1"/>
  <c r="Z20" i="18" s="1"/>
  <c r="K20" i="18" s="1"/>
  <c r="AC8" i="18"/>
  <c r="AB8" i="18" s="1"/>
  <c r="R8" i="18" s="1"/>
  <c r="AC21" i="18"/>
  <c r="AB21" i="18" s="1"/>
  <c r="R21" i="18" s="1"/>
  <c r="U21" i="18" s="1"/>
  <c r="C22" i="18"/>
  <c r="AC32" i="18"/>
  <c r="AB32" i="18" s="1"/>
  <c r="R32" i="18" s="1"/>
  <c r="C33" i="18"/>
  <c r="C10" i="18" l="1"/>
  <c r="AC9" i="18"/>
  <c r="AB9" i="18" s="1"/>
  <c r="R9" i="18" s="1"/>
  <c r="U9" i="18" s="1"/>
  <c r="AC22" i="18"/>
  <c r="AB22" i="18" s="1"/>
  <c r="R22" i="18" s="1"/>
  <c r="W22" i="18" s="1"/>
  <c r="C23" i="18"/>
  <c r="W20" i="18"/>
  <c r="W21" i="18"/>
  <c r="W8" i="18"/>
  <c r="U8" i="18"/>
  <c r="Y22" i="18"/>
  <c r="X22" i="18" s="1"/>
  <c r="E22" i="18" s="1"/>
  <c r="AA22" i="18" s="1"/>
  <c r="Z22" i="18" s="1"/>
  <c r="K22" i="18" s="1"/>
  <c r="C11" i="18"/>
  <c r="C12" i="18" s="1"/>
  <c r="AC10" i="18"/>
  <c r="AB10" i="18" s="1"/>
  <c r="R10" i="18" s="1"/>
  <c r="Y10" i="18"/>
  <c r="X10" i="18" s="1"/>
  <c r="E10" i="18" s="1"/>
  <c r="AA10" i="18" s="1"/>
  <c r="Z10" i="18" s="1"/>
  <c r="K10" i="18" s="1"/>
  <c r="C34" i="18"/>
  <c r="C35" i="18" s="1"/>
  <c r="AC33" i="18"/>
  <c r="AB33" i="18" s="1"/>
  <c r="R33" i="18" s="1"/>
  <c r="Y33" i="18"/>
  <c r="X33" i="18" s="1"/>
  <c r="E33" i="18" s="1"/>
  <c r="AA33" i="18" s="1"/>
  <c r="Z33" i="18" s="1"/>
  <c r="K33" i="18" s="1"/>
  <c r="W32" i="18"/>
  <c r="U32" i="18"/>
  <c r="W9" i="18" l="1"/>
  <c r="Y35" i="18"/>
  <c r="X35" i="18" s="1"/>
  <c r="E35" i="18" s="1"/>
  <c r="AA35" i="18" s="1"/>
  <c r="Z35" i="18" s="1"/>
  <c r="K35" i="18" s="1"/>
  <c r="AC35" i="18"/>
  <c r="AB35" i="18" s="1"/>
  <c r="R35" i="18" s="1"/>
  <c r="C36" i="18"/>
  <c r="U22" i="18"/>
  <c r="Y23" i="18"/>
  <c r="X23" i="18" s="1"/>
  <c r="E23" i="18" s="1"/>
  <c r="AA23" i="18" s="1"/>
  <c r="Z23" i="18" s="1"/>
  <c r="K23" i="18" s="1"/>
  <c r="C24" i="18"/>
  <c r="AC23" i="18"/>
  <c r="AB23" i="18" s="1"/>
  <c r="R23" i="18" s="1"/>
  <c r="W23" i="18" s="1"/>
  <c r="AC12" i="18"/>
  <c r="AB12" i="18" s="1"/>
  <c r="R12" i="18" s="1"/>
  <c r="Y12" i="18"/>
  <c r="X12" i="18" s="1"/>
  <c r="E12" i="18" s="1"/>
  <c r="AA12" i="18" s="1"/>
  <c r="Z12" i="18" s="1"/>
  <c r="K12" i="18" s="1"/>
  <c r="C13" i="18"/>
  <c r="U10" i="18"/>
  <c r="W10" i="18"/>
  <c r="U33" i="18"/>
  <c r="AC11" i="18"/>
  <c r="AB11" i="18" s="1"/>
  <c r="R11" i="18" s="1"/>
  <c r="Y11" i="18"/>
  <c r="X11" i="18" s="1"/>
  <c r="E11" i="18" s="1"/>
  <c r="AA11" i="18" s="1"/>
  <c r="Z11" i="18" s="1"/>
  <c r="K11" i="18" s="1"/>
  <c r="W33" i="18"/>
  <c r="AC34" i="18"/>
  <c r="AB34" i="18" s="1"/>
  <c r="R34" i="18" s="1"/>
  <c r="Y34" i="18"/>
  <c r="X34" i="18" s="1"/>
  <c r="E34" i="18" s="1"/>
  <c r="AA34" i="18" s="1"/>
  <c r="Z34" i="18" s="1"/>
  <c r="K34" i="18" s="1"/>
  <c r="W35" i="18" l="1"/>
  <c r="Y36" i="18"/>
  <c r="X36" i="18" s="1"/>
  <c r="E36" i="18" s="1"/>
  <c r="AA36" i="18" s="1"/>
  <c r="Z36" i="18" s="1"/>
  <c r="K36" i="18" s="1"/>
  <c r="AC36" i="18"/>
  <c r="AB36" i="18" s="1"/>
  <c r="R36" i="18" s="1"/>
  <c r="U36" i="18" s="1"/>
  <c r="C37" i="18"/>
  <c r="U35" i="18"/>
  <c r="W36" i="18"/>
  <c r="U23" i="18"/>
  <c r="C25" i="18"/>
  <c r="Y24" i="18"/>
  <c r="X24" i="18" s="1"/>
  <c r="E24" i="18" s="1"/>
  <c r="AA24" i="18" s="1"/>
  <c r="Z24" i="18" s="1"/>
  <c r="K24" i="18" s="1"/>
  <c r="AC24" i="18"/>
  <c r="AB24" i="18" s="1"/>
  <c r="R24" i="18" s="1"/>
  <c r="W12" i="18"/>
  <c r="Y13" i="18"/>
  <c r="X13" i="18" s="1"/>
  <c r="E13" i="18" s="1"/>
  <c r="AA13" i="18" s="1"/>
  <c r="Z13" i="18" s="1"/>
  <c r="K13" i="18" s="1"/>
  <c r="C14" i="18"/>
  <c r="AC13" i="18"/>
  <c r="AB13" i="18" s="1"/>
  <c r="R13" i="18" s="1"/>
  <c r="W13" i="18" s="1"/>
  <c r="U12" i="18"/>
  <c r="U11" i="18"/>
  <c r="U34" i="18"/>
  <c r="W11" i="18"/>
  <c r="W34" i="18"/>
  <c r="Y37" i="18" l="1"/>
  <c r="X37" i="18" s="1"/>
  <c r="E37" i="18" s="1"/>
  <c r="AA37" i="18" s="1"/>
  <c r="Z37" i="18" s="1"/>
  <c r="K37" i="18" s="1"/>
  <c r="AC37" i="18"/>
  <c r="AB37" i="18" s="1"/>
  <c r="R37" i="18" s="1"/>
  <c r="U37" i="18" s="1"/>
  <c r="U24" i="18"/>
  <c r="C26" i="18"/>
  <c r="Y25" i="18"/>
  <c r="X25" i="18" s="1"/>
  <c r="E25" i="18" s="1"/>
  <c r="AA25" i="18" s="1"/>
  <c r="Z25" i="18" s="1"/>
  <c r="K25" i="18" s="1"/>
  <c r="AC25" i="18"/>
  <c r="AB25" i="18" s="1"/>
  <c r="R25" i="18" s="1"/>
  <c r="U25" i="18" s="1"/>
  <c r="W24" i="18"/>
  <c r="U13" i="18"/>
  <c r="Y14" i="18"/>
  <c r="X14" i="18" s="1"/>
  <c r="E14" i="18" s="1"/>
  <c r="AA14" i="18" s="1"/>
  <c r="Z14" i="18" s="1"/>
  <c r="K14" i="18" s="1"/>
  <c r="AC14" i="18"/>
  <c r="AB14" i="18" s="1"/>
  <c r="R14" i="18" s="1"/>
  <c r="U14" i="18" s="1"/>
  <c r="W37" i="18" l="1"/>
  <c r="Y26" i="18"/>
  <c r="X26" i="18" s="1"/>
  <c r="E26" i="18" s="1"/>
  <c r="AA26" i="18" s="1"/>
  <c r="Z26" i="18" s="1"/>
  <c r="K26" i="18" s="1"/>
  <c r="AC26" i="18"/>
  <c r="AB26" i="18" s="1"/>
  <c r="R26" i="18" s="1"/>
  <c r="W25" i="18"/>
  <c r="W14" i="18"/>
  <c r="E27" i="5"/>
  <c r="F5" i="5" a="1"/>
  <c r="J5" i="5" a="1"/>
  <c r="F22" i="5" a="1"/>
  <c r="P5" i="5" a="1"/>
  <c r="E5" i="5" a="1"/>
  <c r="N17" i="5" a="1"/>
  <c r="N5" i="5" a="1"/>
  <c r="P17" i="5" a="1"/>
  <c r="L5" i="5" a="1"/>
  <c r="J17" i="5" a="1"/>
  <c r="E22" i="5" a="1"/>
  <c r="L17" i="5" a="1"/>
  <c r="F17" i="5" a="1"/>
  <c r="E10" i="5" a="1"/>
  <c r="H17" i="5" a="1"/>
  <c r="H5" i="5" a="1"/>
  <c r="F10" i="5" a="1"/>
  <c r="E17" i="5" a="1"/>
  <c r="D25" i="7" l="1"/>
  <c r="B18" i="2"/>
  <c r="B25" i="7"/>
  <c r="W26" i="18"/>
  <c r="U26" i="18"/>
  <c r="N5" i="5"/>
  <c r="J17" i="5"/>
  <c r="I7" i="7"/>
  <c r="E22" i="5"/>
  <c r="E5" i="5"/>
  <c r="F5" i="5"/>
  <c r="K7" i="7"/>
  <c r="F22" i="5"/>
  <c r="H5" i="5"/>
  <c r="N17" i="5"/>
  <c r="K8" i="7"/>
  <c r="F10" i="5"/>
  <c r="L5" i="5"/>
  <c r="P5" i="5"/>
  <c r="L17" i="5"/>
  <c r="I8" i="7"/>
  <c r="J5" i="5"/>
  <c r="E10" i="5"/>
  <c r="E17" i="5"/>
  <c r="P17" i="5"/>
  <c r="F17" i="5"/>
  <c r="H17" i="5"/>
  <c r="B17" i="2"/>
  <c r="B24" i="2" l="1"/>
  <c r="F26" i="5"/>
  <c r="E26" i="5"/>
  <c r="I1" i="7"/>
  <c r="G26" i="5" l="1"/>
  <c r="B20" i="2" s="1"/>
  <c r="F18" i="7"/>
  <c r="K18" i="7" s="1"/>
  <c r="I6" i="7"/>
  <c r="F20" i="7"/>
  <c r="F19" i="7"/>
  <c r="K19" i="7" s="1"/>
  <c r="I14" i="7"/>
  <c r="G14" i="7"/>
  <c r="K14" i="7"/>
  <c r="I13" i="7"/>
  <c r="G13" i="7"/>
  <c r="K13" i="7"/>
  <c r="B29" i="7" l="1"/>
  <c r="I29" i="7"/>
  <c r="D6" i="7"/>
  <c r="F7" i="7"/>
  <c r="F8" i="7"/>
  <c r="I35" i="7"/>
  <c r="E34" i="7"/>
  <c r="E35" i="7"/>
  <c r="C34" i="7"/>
  <c r="I34" i="7"/>
  <c r="C35" i="7"/>
  <c r="K20" i="7"/>
  <c r="D7" i="7" l="1"/>
  <c r="I12" i="7" l="1"/>
  <c r="E33" i="7" s="1"/>
  <c r="F6" i="7"/>
  <c r="K6" i="7" l="1"/>
  <c r="D8" i="7" l="1"/>
  <c r="K12" i="7" l="1"/>
  <c r="I33" i="7" s="1"/>
  <c r="G12" i="7" l="1"/>
  <c r="C3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<sst xmlns="http://schemas.openxmlformats.org/spreadsheetml/2006/main" count="485" uniqueCount="100">
  <si>
    <t>１．運賃</t>
    <phoneticPr fontId="1"/>
  </si>
  <si>
    <t xml:space="preserve"> (1)　距離制運賃</t>
    <phoneticPr fontId="1"/>
  </si>
  <si>
    <t>(2)　時間距離併用制運賃</t>
    <phoneticPr fontId="1"/>
  </si>
  <si>
    <t>車種区分</t>
  </si>
  <si>
    <t>車種区分</t>
    <rPh sb="0" eb="2">
      <t>シャシュ</t>
    </rPh>
    <rPh sb="2" eb="4">
      <t>クブン</t>
    </rPh>
    <phoneticPr fontId="1"/>
  </si>
  <si>
    <t>大型車</t>
    <rPh sb="0" eb="3">
      <t>オオガタシャ</t>
    </rPh>
    <phoneticPr fontId="1"/>
  </si>
  <si>
    <t>普通車</t>
    <rPh sb="0" eb="3">
      <t>フツウシャ</t>
    </rPh>
    <phoneticPr fontId="1"/>
  </si>
  <si>
    <t>特定大型車</t>
  </si>
  <si>
    <t>特定大型車</t>
    <rPh sb="0" eb="2">
      <t>トクテイ</t>
    </rPh>
    <rPh sb="2" eb="5">
      <t>オオガタシャ</t>
    </rPh>
    <phoneticPr fontId="1"/>
  </si>
  <si>
    <t>初乗運賃</t>
    <rPh sb="0" eb="2">
      <t>ハツノ</t>
    </rPh>
    <rPh sb="2" eb="4">
      <t>ウンチン</t>
    </rPh>
    <phoneticPr fontId="1"/>
  </si>
  <si>
    <t>円</t>
    <rPh sb="0" eb="1">
      <t>エン</t>
    </rPh>
    <phoneticPr fontId="1"/>
  </si>
  <si>
    <t>mまでごとに</t>
    <phoneticPr fontId="1"/>
  </si>
  <si>
    <t>加算運賃</t>
    <rPh sb="0" eb="2">
      <t>カサン</t>
    </rPh>
    <rPh sb="2" eb="4">
      <t>ウンチン</t>
    </rPh>
    <phoneticPr fontId="1"/>
  </si>
  <si>
    <t>(3)　時間制運賃</t>
    <phoneticPr fontId="1"/>
  </si>
  <si>
    <t>(4)　運賃等の割増</t>
    <phoneticPr fontId="1"/>
  </si>
  <si>
    <t>(5)　運賃等の割引</t>
    <phoneticPr fontId="1"/>
  </si>
  <si>
    <t>２．料金</t>
    <phoneticPr fontId="1"/>
  </si>
  <si>
    <t>(1)　待料金</t>
    <phoneticPr fontId="1"/>
  </si>
  <si>
    <t>一般乗用旅客自動車運送事業運賃料金表</t>
    <phoneticPr fontId="1"/>
  </si>
  <si>
    <t>運賃及び料金の適用方法</t>
    <phoneticPr fontId="1"/>
  </si>
  <si>
    <t>１． 車種区分は次のとおりとする。</t>
    <phoneticPr fontId="1"/>
  </si>
  <si>
    <t>普　通　車</t>
  </si>
  <si>
    <t>自　動　車　の　大　き　さ　等</t>
    <phoneticPr fontId="1"/>
  </si>
  <si>
    <t>２．運賃の適用順位</t>
    <phoneticPr fontId="1"/>
  </si>
  <si>
    <t>３．運賃料金の適用方法</t>
    <phoneticPr fontId="1"/>
  </si>
  <si>
    <t>(7)　適用する営業区域</t>
    <phoneticPr fontId="1"/>
  </si>
  <si>
    <t>　普通自動車又は小型自動車のうち乗車定員７名以上のもの。
　ただし、特種車両（福祉）を除く。</t>
    <phoneticPr fontId="1"/>
  </si>
  <si>
    <t>　普通自動車のうち排気量２．５リットルを超えるもので、乗車定員６名以下のもの。
　特種車両（福祉）であって、乗車定員７名以上のもの。</t>
    <phoneticPr fontId="1"/>
  </si>
  <si>
    <t>　原則として距離制運賃を適用し、これにより難い場合は、特約により時間制運賃を適用するものとする。
　また、定額運賃を設定している場合は、定額運賃を適用することができるものとする。</t>
    <phoneticPr fontId="1"/>
  </si>
  <si>
    <t>２割増</t>
    <phoneticPr fontId="1"/>
  </si>
  <si>
    <t>１割引</t>
    <phoneticPr fontId="1"/>
  </si>
  <si>
    <t>分　　</t>
    <phoneticPr fontId="1"/>
  </si>
  <si>
    <t>　時速１０㎞以下の運行時間について</t>
    <rPh sb="1" eb="3">
      <t>ジソク</t>
    </rPh>
    <rPh sb="5" eb="8">
      <t>キロメートルイカ</t>
    </rPh>
    <rPh sb="9" eb="11">
      <t>ウンコウ</t>
    </rPh>
    <rPh sb="11" eb="13">
      <t>ジカン</t>
    </rPh>
    <phoneticPr fontId="1"/>
  </si>
  <si>
    <t>　最初の３０分まで</t>
    <rPh sb="1" eb="3">
      <t>サイショ</t>
    </rPh>
    <rPh sb="6" eb="7">
      <t>フン</t>
    </rPh>
    <phoneticPr fontId="1"/>
  </si>
  <si>
    <t>　３０分までごとに</t>
    <phoneticPr fontId="1"/>
  </si>
  <si>
    <t>　最初の</t>
    <rPh sb="1" eb="3">
      <t>サイショ</t>
    </rPh>
    <phoneticPr fontId="1"/>
  </si>
  <si>
    <t>　イ．寝台割増</t>
    <phoneticPr fontId="1"/>
  </si>
  <si>
    <t>　ア．障害者割引</t>
    <phoneticPr fontId="1"/>
  </si>
  <si>
    <t xml:space="preserve"> </t>
    <phoneticPr fontId="1"/>
  </si>
  <si>
    <t>① 特定大型車</t>
    <phoneticPr fontId="1"/>
  </si>
  <si>
    <t>距離制運賃</t>
    <rPh sb="0" eb="2">
      <t>キョリ</t>
    </rPh>
    <rPh sb="2" eb="3">
      <t>セイ</t>
    </rPh>
    <rPh sb="3" eb="5">
      <t>ウンチン</t>
    </rPh>
    <phoneticPr fontId="1"/>
  </si>
  <si>
    <t>時間距離併用制運賃
及び待料金</t>
    <rPh sb="0" eb="2">
      <t>ジカン</t>
    </rPh>
    <rPh sb="2" eb="4">
      <t>キョリ</t>
    </rPh>
    <rPh sb="4" eb="7">
      <t>ヘイヨウセイ</t>
    </rPh>
    <rPh sb="7" eb="9">
      <t>ウンチン</t>
    </rPh>
    <rPh sb="10" eb="11">
      <t>オヨ</t>
    </rPh>
    <rPh sb="12" eb="13">
      <t>マチ</t>
    </rPh>
    <rPh sb="13" eb="15">
      <t>リョウキン</t>
    </rPh>
    <phoneticPr fontId="1"/>
  </si>
  <si>
    <t>時間制運賃</t>
    <rPh sb="0" eb="2">
      <t>ジカン</t>
    </rPh>
    <rPh sb="2" eb="3">
      <t>セイ</t>
    </rPh>
    <rPh sb="3" eb="5">
      <t>ウンチン</t>
    </rPh>
    <phoneticPr fontId="1"/>
  </si>
  <si>
    <t>上限運賃</t>
    <rPh sb="0" eb="2">
      <t>ジョウゲン</t>
    </rPh>
    <rPh sb="2" eb="4">
      <t>ウンチン</t>
    </rPh>
    <phoneticPr fontId="1"/>
  </si>
  <si>
    <t>m</t>
    <phoneticPr fontId="1"/>
  </si>
  <si>
    <t>分</t>
    <rPh sb="0" eb="1">
      <t>プン</t>
    </rPh>
    <phoneticPr fontId="1"/>
  </si>
  <si>
    <t>秒</t>
    <rPh sb="0" eb="1">
      <t>ビョウ</t>
    </rPh>
    <phoneticPr fontId="1"/>
  </si>
  <si>
    <t>３０分</t>
    <rPh sb="2" eb="3">
      <t>フン</t>
    </rPh>
    <phoneticPr fontId="1"/>
  </si>
  <si>
    <t>A運賃</t>
    <rPh sb="1" eb="3">
      <t>ウンチン</t>
    </rPh>
    <phoneticPr fontId="1"/>
  </si>
  <si>
    <t>B運賃</t>
    <rPh sb="1" eb="3">
      <t>ウンチン</t>
    </rPh>
    <phoneticPr fontId="1"/>
  </si>
  <si>
    <t>C運賃</t>
    <rPh sb="1" eb="3">
      <t>ウンチン</t>
    </rPh>
    <phoneticPr fontId="1"/>
  </si>
  <si>
    <t>E運賃</t>
    <rPh sb="1" eb="3">
      <t>ウンチン</t>
    </rPh>
    <phoneticPr fontId="1"/>
  </si>
  <si>
    <t>F運賃</t>
    <rPh sb="1" eb="3">
      <t>ウンチン</t>
    </rPh>
    <phoneticPr fontId="1"/>
  </si>
  <si>
    <t>G運賃</t>
    <rPh sb="1" eb="3">
      <t>ウンチン</t>
    </rPh>
    <phoneticPr fontId="1"/>
  </si>
  <si>
    <t>H運賃</t>
    <rPh sb="1" eb="3">
      <t>ウンチン</t>
    </rPh>
    <phoneticPr fontId="1"/>
  </si>
  <si>
    <t>下限運賃</t>
    <rPh sb="0" eb="2">
      <t>カゲン</t>
    </rPh>
    <rPh sb="2" eb="4">
      <t>ウンチン</t>
    </rPh>
    <phoneticPr fontId="1"/>
  </si>
  <si>
    <t>② 大型車</t>
    <phoneticPr fontId="1"/>
  </si>
  <si>
    <t>③ 普通車</t>
    <rPh sb="2" eb="5">
      <t>フツウシャ</t>
    </rPh>
    <phoneticPr fontId="1"/>
  </si>
  <si>
    <t>加算距離</t>
    <rPh sb="0" eb="2">
      <t>カサン</t>
    </rPh>
    <rPh sb="2" eb="4">
      <t>キョリ</t>
    </rPh>
    <phoneticPr fontId="1"/>
  </si>
  <si>
    <t>併用</t>
    <rPh sb="0" eb="2">
      <t>ヘイヨウ</t>
    </rPh>
    <phoneticPr fontId="1"/>
  </si>
  <si>
    <t>時間制</t>
    <rPh sb="0" eb="3">
      <t>ジカンセイ</t>
    </rPh>
    <phoneticPr fontId="1"/>
  </si>
  <si>
    <t>時間制運賃</t>
    <rPh sb="0" eb="3">
      <t>ジカンセイ</t>
    </rPh>
    <rPh sb="3" eb="5">
      <t>ウンチン</t>
    </rPh>
    <phoneticPr fontId="1"/>
  </si>
  <si>
    <t>遠距離割引</t>
    <rPh sb="0" eb="3">
      <t>エンキョリ</t>
    </rPh>
    <rPh sb="3" eb="5">
      <t>ワリビキ</t>
    </rPh>
    <phoneticPr fontId="1"/>
  </si>
  <si>
    <t>なし</t>
    <phoneticPr fontId="1"/>
  </si>
  <si>
    <t>運賃適用地域</t>
    <rPh sb="0" eb="2">
      <t>ウンチン</t>
    </rPh>
    <rPh sb="2" eb="4">
      <t>テキヨウ</t>
    </rPh>
    <rPh sb="4" eb="6">
      <t>チイキ</t>
    </rPh>
    <phoneticPr fontId="1"/>
  </si>
  <si>
    <t>分</t>
    <rPh sb="0" eb="1">
      <t>フン</t>
    </rPh>
    <phoneticPr fontId="1"/>
  </si>
  <si>
    <t>秒までごとに</t>
    <phoneticPr fontId="1"/>
  </si>
  <si>
    <t>時間距離併用制運賃</t>
    <rPh sb="0" eb="2">
      <t>ジカン</t>
    </rPh>
    <rPh sb="2" eb="4">
      <t>キョリ</t>
    </rPh>
    <rPh sb="4" eb="6">
      <t>ヘイヨウ</t>
    </rPh>
    <rPh sb="6" eb="7">
      <t>セイ</t>
    </rPh>
    <rPh sb="7" eb="9">
      <t>ウンチン</t>
    </rPh>
    <phoneticPr fontId="1"/>
  </si>
  <si>
    <t>まで</t>
    <phoneticPr fontId="1"/>
  </si>
  <si>
    <t>自動認可運賃</t>
    <rPh sb="4" eb="6">
      <t>ウンチン</t>
    </rPh>
    <phoneticPr fontId="1"/>
  </si>
  <si>
    <t>1.4km</t>
    <phoneticPr fontId="1"/>
  </si>
  <si>
    <t>適用する営業区域</t>
    <rPh sb="0" eb="2">
      <t>テキヨウ</t>
    </rPh>
    <rPh sb="4" eb="6">
      <t>エイギョウ</t>
    </rPh>
    <rPh sb="6" eb="8">
      <t>クイキ</t>
    </rPh>
    <phoneticPr fontId="1"/>
  </si>
  <si>
    <t>7,000円超え1割引</t>
    <rPh sb="5" eb="6">
      <t>エン</t>
    </rPh>
    <rPh sb="6" eb="7">
      <t>ゴ</t>
    </rPh>
    <rPh sb="9" eb="11">
      <t>ワリビキ</t>
    </rPh>
    <phoneticPr fontId="1"/>
  </si>
  <si>
    <t>　ア．深夜早朝割増</t>
    <phoneticPr fontId="1"/>
  </si>
  <si>
    <t>(5)　料　金
　　ア．料金は、距離制運賃による場合に適用する。
　　イ．待料金は、旅客の都合により車両を待機させた場合に限り適用することとし、待機に要した
　　　時間を加算距離換算し、距離制運賃に併算する。</t>
    <phoneticPr fontId="1"/>
  </si>
  <si>
    <t>冬期割増</t>
    <rPh sb="0" eb="2">
      <t>トウキ</t>
    </rPh>
    <rPh sb="2" eb="4">
      <t>ワリマシ</t>
    </rPh>
    <phoneticPr fontId="1"/>
  </si>
  <si>
    <t>あり</t>
    <phoneticPr fontId="1"/>
  </si>
  <si>
    <t>大　型　車</t>
    <phoneticPr fontId="1"/>
  </si>
  <si>
    <t>備　　　考</t>
    <phoneticPr fontId="1"/>
  </si>
  <si>
    <t>(1)　距離制運賃
　　ア．距離制運賃は、タクシーメーター器の表示額とする。
　　イ．距離制運賃は、旅客の乗車した地点から運送が終わった地点までの実車走行距離に応じて算
　　　定する。
　　ウ．時間距離併用制運賃は、一定速度(時速１０㎞)以下となった場合の運送に要した時間を加算
　　　距離に換算し、距離制メーターに併算する。
　　　　ただし、高速自動車国道を通行する場合及び事業者の責により生じた原因により、一定速度
　　　以下となった運送の場合は適用しない。
　　エ．距離制運賃の収受にあたっては、運送が終わった地点で停車後、直ちにタクシーメーター器
　　　を「支払」の位置に操作し、その表示額により行う。</t>
    <rPh sb="103" eb="104">
      <t>セイ</t>
    </rPh>
    <phoneticPr fontId="1"/>
  </si>
  <si>
    <t>(6)　実費の負担
　　ア．旅客の要求により有料道路、自動車航送船、有料駐車場等を利用した場合における当該利用
　　　の実費は、旅客の負担とする。
　　　　また、旅客から乗務員宿泊料など特別な負担を求められた場合における当実費は、旅客の負
　　　担とする。
　　イ．道路事情、交通規制等客観的な事情によるとき又は他に適当な方法がないためやむを得ず有
　　　料道路、自動車航送船を利用して往路若しくは復路が回送となる場合における当該利用の実費
　　　は、旅客の負担とする。</t>
    <phoneticPr fontId="1"/>
  </si>
  <si>
    <t>(2)　時間制運賃
　　ア．時間制運賃は、営業所（無線基地局を含む。）において、時間制運賃によるあらかじめの特
　　　約がある場合に適用する。
　　イ．時間制運賃は、旅客の要請によって最寄りの営業所等を出発したときから、旅客の運送を終
　　　了するまでの実拘束時間に応じて算定する。
　　ウ．時間制運賃は、初乗り３０分とし、加算運賃は３０分単位とする。３０分未満の端数が生じ
　　　た場合は３０分単位に切り上げるものとする。
　　エ．時間制運賃による契約の場合は、タクシーメーター器にカバーをし、前面に「貸切」の表示
　　　をする。
　　オ．時間制運賃による場合は、運賃の割増及び料金は適用しない。</t>
    <phoneticPr fontId="1"/>
  </si>
  <si>
    <t>　普通自動車のうち排気量２．５リットル以下のもので乗車定員６名以下のもの及び小型自動車で乗車定員６名以下のもの。
　普通自動車、小型自動車又は軽自動車のうち、電気自動車若しくは特種車両（
福祉）であって、乗車定員６名以下のもの。</t>
    <phoneticPr fontId="1"/>
  </si>
  <si>
    <t>黄色いセルに入力してください↓</t>
    <rPh sb="0" eb="2">
      <t>キイロ</t>
    </rPh>
    <rPh sb="6" eb="8">
      <t>ニュウリョク</t>
    </rPh>
    <phoneticPr fontId="1"/>
  </si>
  <si>
    <t>根室市</t>
  </si>
  <si>
    <t>厚岸川上圏</t>
  </si>
  <si>
    <t>中標津圏</t>
  </si>
  <si>
    <t>釧路交通圏（釧路市（ただし、平成１７年１０月１１日に新設された釧路市における旧釧路市の区域に限る。）、釧路町）</t>
  </si>
  <si>
    <t>釧路交通圏（釧路市（ただし、平成１７年１０月１１日に新設された釧路市における旧釧路市の区域に限る。）、釧路町）</t>
    <phoneticPr fontId="1"/>
  </si>
  <si>
    <t>阿寒白糠圏（釧路市（ただし、平成１７年１０月１１日に新設された釧路市における旧阿寒町及び旧音別町の区域に限る。）、鶴居村、白糠町）</t>
    <phoneticPr fontId="1"/>
  </si>
  <si>
    <t>(3)　運賃等の割増
　　ア．深夜早朝割増は、午後１０時以降午前５時までの間における運送及び待料金に適用する。
　　イ．寝台割増は、寝台専用の固定した設備を有する車両に限り適用する。
　　ウ．運賃等の割増は、距離短縮方式とする。
　　エ．２以上の割増条件に該当する場合は、いずれか高い率を適用し、割増の重複はできないもの
　　　とする。</t>
    <phoneticPr fontId="1"/>
  </si>
  <si>
    <t>(4)　運賃等の割引
　　ア．運賃等の割引は、距離制運賃、時間制運賃及び待料金に適用する。
　　イ．障害者割引は、次による。
  　　(a)　障害者割引は、身体障害者福祉法（昭和２４年１２月２６日付け法律第２８３号）に基づ
　　　　 く身体障害者手帳、又は療育手帳制度（昭和４８年９月２７日付け厚生事務次官通知）に規
　　　　 定する知的障害者療育手帳の交付を受けている者を対象とし、当該手帳を提示したときに適
　　　　 用する。
　　　(b)　割引の対象区間は、障害者自身が乗車した区間又は時間に適用する。
  　　(c)　運賃料金の額は、距離制運賃及び待料金はタクシーメーター器表示額に、時間制運賃は別
　　　　途計算された額に０.９を乗じ１０円未満の端数を切り捨てた額とする。
  　　(d)　障害者割引は、重複して適用しない。</t>
    <phoneticPr fontId="1"/>
  </si>
  <si>
    <t>１．普通自動車、小型自動車、軽自動車は、道路運送車両法施行規則第２条の定
　めによる。
２．電気自動車とは、内燃機関を有しない電動機を有する自動車をいう。
３．特種車両（福祉）とは、寝台専用車、車椅子専用車及び寝台・車椅子兼用車
　をいう。</t>
    <phoneticPr fontId="1"/>
  </si>
  <si>
    <t>なし</t>
  </si>
  <si>
    <t>D運賃</t>
    <rPh sb="1" eb="3">
      <t>ウンチン</t>
    </rPh>
    <phoneticPr fontId="1"/>
  </si>
  <si>
    <t>釧路運輸支局管内</t>
    <rPh sb="0" eb="2">
      <t>クシロ</t>
    </rPh>
    <rPh sb="2" eb="8">
      <t>ウンユシキョクカンナイ</t>
    </rPh>
    <phoneticPr fontId="1"/>
  </si>
  <si>
    <t>あり</t>
  </si>
  <si>
    <t>釧路</t>
    <rPh sb="0" eb="2">
      <t>クシロ</t>
    </rPh>
    <phoneticPr fontId="1"/>
  </si>
  <si>
    <t>地区</t>
    <rPh sb="0" eb="2">
      <t>チク</t>
    </rPh>
    <phoneticPr fontId="1"/>
  </si>
  <si>
    <t>自動認可運賃・料金表（釧路地区）</t>
    <rPh sb="0" eb="2">
      <t>ジドウ</t>
    </rPh>
    <rPh sb="2" eb="4">
      <t>ニンカ</t>
    </rPh>
    <rPh sb="4" eb="6">
      <t>ウンチン</t>
    </rPh>
    <rPh sb="7" eb="9">
      <t>リョウキン</t>
    </rPh>
    <rPh sb="9" eb="10">
      <t>ヒョウ</t>
    </rPh>
    <rPh sb="11" eb="13">
      <t>クシロ</t>
    </rPh>
    <rPh sb="13" eb="15">
      <t>チク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</si>
</sst>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
    <numFmt numFmtId="177" formatCode="0.0"/>
  </numFmts>
  <fonts count="19" x14ac:knownFonts="1">
    <font>
      <sz val="11"/>
      <color theme="1"/>
      <name val="ＭＳ Ｐゴシック"/>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font>
    <font>
      <sz val="11"/>
      <name val="ＭＳ Ｐゴシック"/>
      <family val="3"/>
      <charset val="128"/>
    </font>
    <font>
      <b/>
      <sz val="9"/>
      <name val="ＭＳ Ｐゴシック"/>
      <family val="3"/>
      <charset val="128"/>
    </font>
    <font>
      <b/>
      <sz val="14"/>
      <name val="ＭＳ Ｐゴシック"/>
      <family val="3"/>
      <charset val="128"/>
    </font>
    <font>
      <sz val="14"/>
      <name val="ＭＳ 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sz val="8"/>
      <name val="ＭＳ Ｐゴシック"/>
      <family val="3"/>
      <charset val="128"/>
    </font>
    <font>
      <sz val="8"/>
      <color theme="1"/>
      <name val="ＭＳ Ｐゴシック"/>
      <family val="3"/>
      <charset val="128"/>
    </font>
    <font>
      <sz val="14"/>
      <color theme="1"/>
      <name val="ＭＳ ゴシック"/>
      <family val="3"/>
      <charset val="128"/>
    </font>
    <font>
      <sz val="10"/>
      <color theme="1"/>
      <name val="ＭＳ ゴシック"/>
      <family val="3"/>
      <charset val="128"/>
    </font>
    <font>
      <sz val="10"/>
      <color rgb="FF000000"/>
      <name val="ＭＳ ゴシック"/>
      <family val="3"/>
      <charset val="128"/>
    </font>
    <font>
      <sz val="10"/>
      <color rgb="FFFF0000"/>
      <name val="ＭＳ ゴシック"/>
      <family val="3"/>
      <charset val="128"/>
    </font>
  </fonts>
  <fills count="4">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alignment vertical="center"/>
    </xf>
    <xf numFmtId="38" fontId="5" fillId="0" borderId="0" applyFont="0" applyFill="0" applyBorder="0" applyAlignment="0" applyProtection="0">
      <alignment vertical="center"/>
    </xf>
    <xf numFmtId="0" fontId="6" fillId="0" borderId="0"/>
    <xf numFmtId="38" fontId="6" fillId="0" borderId="0" applyFont="0" applyFill="0" applyBorder="0" applyAlignment="0" applyProtection="0"/>
    <xf numFmtId="0" fontId="6" fillId="0" borderId="0">
      <alignment vertical="center"/>
    </xf>
  </cellStyleXfs>
  <cellXfs count="144">
    <xf numFmtId="0" fontId="0" fillId="0" borderId="0" xfId="0">
      <alignment vertical="center"/>
    </xf>
    <xf numFmtId="0" fontId="2" fillId="0" borderId="0" xfId="0" applyFont="1">
      <alignment vertical="center"/>
    </xf>
    <xf numFmtId="0" fontId="3" fillId="0" borderId="0" xfId="0" applyFont="1">
      <alignment vertical="center"/>
    </xf>
    <xf numFmtId="0" fontId="7" fillId="0" borderId="0" xfId="2" applyFont="1" applyAlignment="1">
      <alignment vertical="center"/>
    </xf>
    <xf numFmtId="0" fontId="8" fillId="0" borderId="0" xfId="2" applyFont="1" applyAlignment="1">
      <alignment vertical="center"/>
    </xf>
    <xf numFmtId="0" fontId="6" fillId="0" borderId="0" xfId="2" applyAlignment="1">
      <alignment vertical="center"/>
    </xf>
    <xf numFmtId="0" fontId="9" fillId="0" borderId="0" xfId="2" applyFont="1" applyAlignment="1">
      <alignment vertical="center"/>
    </xf>
    <xf numFmtId="0" fontId="8" fillId="0" borderId="0" xfId="2" applyFont="1" applyAlignment="1">
      <alignment horizontal="right" vertical="center"/>
    </xf>
    <xf numFmtId="0" fontId="10" fillId="0" borderId="0" xfId="2" applyFont="1" applyAlignment="1">
      <alignment vertical="center"/>
    </xf>
    <xf numFmtId="0" fontId="8" fillId="0" borderId="0" xfId="2" applyFont="1" applyAlignment="1">
      <alignment vertical="center" justifyLastLine="1"/>
    </xf>
    <xf numFmtId="0" fontId="8" fillId="0" borderId="0" xfId="2" applyFont="1" applyAlignment="1">
      <alignment horizontal="distributed" vertical="center"/>
    </xf>
    <xf numFmtId="0" fontId="6" fillId="0" borderId="0" xfId="2" applyAlignment="1">
      <alignment horizontal="distributed" vertical="center"/>
    </xf>
    <xf numFmtId="38" fontId="0" fillId="0" borderId="0" xfId="3" applyFont="1" applyAlignment="1">
      <alignment vertical="center"/>
    </xf>
    <xf numFmtId="0" fontId="11" fillId="0" borderId="0" xfId="2" applyFont="1" applyAlignment="1">
      <alignment vertical="center"/>
    </xf>
    <xf numFmtId="0" fontId="6" fillId="0" borderId="1" xfId="2" applyBorder="1" applyAlignment="1">
      <alignment horizontal="distributed" vertical="center" justifyLastLine="1"/>
    </xf>
    <xf numFmtId="0" fontId="12" fillId="0" borderId="11" xfId="2" applyFont="1" applyBorder="1" applyAlignment="1">
      <alignment horizontal="distributed" vertical="center"/>
    </xf>
    <xf numFmtId="0" fontId="10" fillId="0" borderId="12" xfId="2" applyFont="1" applyBorder="1" applyAlignment="1">
      <alignment vertical="center"/>
    </xf>
    <xf numFmtId="0" fontId="13" fillId="0" borderId="13" xfId="2" applyFont="1" applyBorder="1" applyAlignment="1">
      <alignment vertical="center"/>
    </xf>
    <xf numFmtId="0" fontId="10" fillId="0" borderId="11" xfId="2" applyFont="1" applyBorder="1" applyAlignment="1">
      <alignment vertical="center"/>
    </xf>
    <xf numFmtId="0" fontId="13" fillId="0" borderId="12" xfId="2" applyFont="1" applyBorder="1" applyAlignment="1">
      <alignment horizontal="center" vertical="center" wrapText="1" shrinkToFit="1"/>
    </xf>
    <xf numFmtId="0" fontId="13" fillId="0" borderId="13" xfId="2" applyFont="1" applyBorder="1" applyAlignment="1">
      <alignment horizontal="center" vertical="center"/>
    </xf>
    <xf numFmtId="0" fontId="13" fillId="0" borderId="12" xfId="2" applyFont="1" applyBorder="1" applyAlignment="1">
      <alignment horizontal="right" vertical="center"/>
    </xf>
    <xf numFmtId="0" fontId="13" fillId="0" borderId="12" xfId="2" applyFont="1" applyBorder="1" applyAlignment="1">
      <alignment vertical="center" wrapText="1"/>
    </xf>
    <xf numFmtId="0" fontId="13" fillId="0" borderId="0" xfId="2" applyFont="1" applyAlignment="1">
      <alignment vertical="center"/>
    </xf>
    <xf numFmtId="0" fontId="13" fillId="0" borderId="9" xfId="2" applyFont="1" applyBorder="1" applyAlignment="1">
      <alignment horizontal="center" vertical="center"/>
    </xf>
    <xf numFmtId="38" fontId="10" fillId="0" borderId="12" xfId="3" applyFont="1" applyFill="1" applyBorder="1" applyAlignment="1">
      <alignment vertical="center"/>
    </xf>
    <xf numFmtId="0" fontId="13" fillId="0" borderId="11" xfId="2" applyFont="1" applyBorder="1" applyAlignment="1">
      <alignment horizontal="center" vertical="center"/>
    </xf>
    <xf numFmtId="38" fontId="6" fillId="0" borderId="0" xfId="2" applyNumberFormat="1" applyAlignment="1">
      <alignment vertical="center"/>
    </xf>
    <xf numFmtId="176" fontId="6" fillId="0" borderId="0" xfId="2" applyNumberFormat="1" applyAlignment="1">
      <alignment vertical="center"/>
    </xf>
    <xf numFmtId="0" fontId="6" fillId="0" borderId="7" xfId="2" applyBorder="1" applyAlignment="1">
      <alignment horizontal="distributed" vertical="center" justifyLastLine="1"/>
    </xf>
    <xf numFmtId="0" fontId="10" fillId="0" borderId="7" xfId="2" applyFont="1" applyBorder="1" applyAlignment="1">
      <alignment vertical="center"/>
    </xf>
    <xf numFmtId="0" fontId="13" fillId="0" borderId="7" xfId="2" applyFont="1" applyBorder="1" applyAlignment="1">
      <alignment vertical="center"/>
    </xf>
    <xf numFmtId="0" fontId="13" fillId="0" borderId="7" xfId="2" applyFont="1" applyBorder="1" applyAlignment="1">
      <alignment horizontal="center" vertical="center" wrapText="1" shrinkToFit="1"/>
    </xf>
    <xf numFmtId="0" fontId="13" fillId="0" borderId="7" xfId="2" applyFont="1" applyBorder="1" applyAlignment="1">
      <alignment horizontal="center" vertical="center"/>
    </xf>
    <xf numFmtId="0" fontId="13" fillId="0" borderId="7" xfId="2" applyFont="1" applyBorder="1" applyAlignment="1">
      <alignment horizontal="right" vertical="center"/>
    </xf>
    <xf numFmtId="0" fontId="13" fillId="0" borderId="7" xfId="2" applyFont="1" applyBorder="1" applyAlignment="1">
      <alignment vertical="center" wrapText="1"/>
    </xf>
    <xf numFmtId="3" fontId="10" fillId="0" borderId="12" xfId="2" applyNumberFormat="1" applyFont="1" applyBorder="1" applyAlignment="1">
      <alignment horizontal="right" vertical="center"/>
    </xf>
    <xf numFmtId="3" fontId="6" fillId="0" borderId="0" xfId="2" applyNumberFormat="1" applyAlignment="1">
      <alignment vertical="center"/>
    </xf>
    <xf numFmtId="38" fontId="10" fillId="0" borderId="0" xfId="3" applyFont="1" applyFill="1" applyBorder="1" applyAlignment="1">
      <alignment vertical="center"/>
    </xf>
    <xf numFmtId="0" fontId="13" fillId="0" borderId="10" xfId="2" applyFont="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3" fillId="0" borderId="0" xfId="0" applyFont="1" applyFill="1">
      <alignment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distributed"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0" fontId="3" fillId="0" borderId="9" xfId="0" applyFont="1" applyFill="1" applyBorder="1">
      <alignment vertical="center"/>
    </xf>
    <xf numFmtId="0" fontId="3" fillId="0" borderId="0" xfId="0" applyFont="1" applyFill="1" applyBorder="1" applyAlignment="1">
      <alignment vertical="center" shrinkToFit="1"/>
    </xf>
    <xf numFmtId="0" fontId="3" fillId="0" borderId="3" xfId="0" applyFont="1" applyFill="1" applyBorder="1">
      <alignment vertical="center"/>
    </xf>
    <xf numFmtId="0" fontId="3" fillId="0" borderId="11" xfId="0" applyFont="1" applyFill="1" applyBorder="1" applyAlignment="1">
      <alignment horizontal="left" vertical="center"/>
    </xf>
    <xf numFmtId="0" fontId="3" fillId="0" borderId="12" xfId="0" applyFont="1" applyFill="1" applyBorder="1" applyAlignment="1">
      <alignment horizontal="center" vertical="center"/>
    </xf>
    <xf numFmtId="0" fontId="3" fillId="0" borderId="12" xfId="0" applyFont="1" applyFill="1" applyBorder="1">
      <alignment vertical="center"/>
    </xf>
    <xf numFmtId="0" fontId="3" fillId="0" borderId="13" xfId="0" applyFont="1" applyFill="1" applyBorder="1">
      <alignment vertical="center"/>
    </xf>
    <xf numFmtId="0" fontId="3" fillId="0" borderId="11" xfId="0" applyFont="1" applyFill="1" applyBorder="1">
      <alignment vertical="center"/>
    </xf>
    <xf numFmtId="0" fontId="3" fillId="0" borderId="12" xfId="0" applyFont="1" applyFill="1" applyBorder="1" applyAlignment="1">
      <alignment vertical="center" shrinkToFit="1"/>
    </xf>
    <xf numFmtId="0" fontId="3" fillId="0" borderId="2" xfId="0" applyFont="1" applyFill="1" applyBorder="1" applyAlignment="1">
      <alignment horizontal="distributed" vertical="center"/>
    </xf>
    <xf numFmtId="0" fontId="3" fillId="0" borderId="6" xfId="0" applyFont="1" applyFill="1" applyBorder="1">
      <alignment vertical="center"/>
    </xf>
    <xf numFmtId="0" fontId="3" fillId="0" borderId="7" xfId="0" applyFont="1" applyFill="1" applyBorder="1">
      <alignment vertical="center"/>
    </xf>
    <xf numFmtId="0" fontId="3" fillId="0" borderId="0" xfId="0" applyFont="1" applyFill="1" applyAlignment="1">
      <alignment vertical="center" shrinkToFit="1"/>
    </xf>
    <xf numFmtId="0" fontId="3" fillId="0" borderId="8" xfId="0" applyFont="1" applyFill="1" applyBorder="1">
      <alignment vertical="center"/>
    </xf>
    <xf numFmtId="0" fontId="3" fillId="0" borderId="10"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0" xfId="0" applyFont="1" applyFill="1" applyAlignment="1">
      <alignment horizontal="right" vertical="center"/>
    </xf>
    <xf numFmtId="38" fontId="3" fillId="0" borderId="0" xfId="1"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distributed" vertical="center"/>
    </xf>
    <xf numFmtId="0" fontId="2" fillId="0" borderId="0" xfId="0" applyFont="1" applyAlignment="1">
      <alignment horizontal="left" vertical="center"/>
    </xf>
    <xf numFmtId="3" fontId="2" fillId="0" borderId="0" xfId="0" applyNumberFormat="1" applyFont="1">
      <alignment vertical="center"/>
    </xf>
    <xf numFmtId="0" fontId="0" fillId="0" borderId="0" xfId="0" applyAlignment="1">
      <alignment horizontal="center" vertical="center"/>
    </xf>
    <xf numFmtId="0" fontId="12" fillId="0" borderId="7" xfId="2" applyFont="1" applyBorder="1" applyAlignment="1">
      <alignment horizontal="distributed" vertical="center"/>
    </xf>
    <xf numFmtId="38" fontId="10" fillId="0" borderId="7" xfId="3" applyFont="1" applyFill="1" applyBorder="1" applyAlignment="1">
      <alignment vertical="center"/>
    </xf>
    <xf numFmtId="0" fontId="13" fillId="0" borderId="0" xfId="2" applyFont="1" applyBorder="1" applyAlignment="1">
      <alignment horizontal="center" vertical="center"/>
    </xf>
    <xf numFmtId="0" fontId="6" fillId="0" borderId="0" xfId="2" applyBorder="1" applyAlignment="1">
      <alignment horizontal="distributed" vertical="center" justifyLastLine="1"/>
    </xf>
    <xf numFmtId="0" fontId="10" fillId="0" borderId="0" xfId="2" applyFont="1" applyBorder="1" applyAlignment="1">
      <alignment vertical="center"/>
    </xf>
    <xf numFmtId="0" fontId="13" fillId="0" borderId="0" xfId="2" applyFont="1" applyBorder="1" applyAlignment="1">
      <alignment vertical="center"/>
    </xf>
    <xf numFmtId="0" fontId="13" fillId="0" borderId="0" xfId="2" applyFont="1" applyBorder="1" applyAlignment="1">
      <alignment horizontal="center" vertical="center" wrapText="1" shrinkToFit="1"/>
    </xf>
    <xf numFmtId="0" fontId="13" fillId="0" borderId="0" xfId="2" applyFont="1" applyBorder="1" applyAlignment="1">
      <alignment horizontal="right" vertical="center"/>
    </xf>
    <xf numFmtId="0" fontId="13" fillId="0" borderId="0" xfId="2" applyFont="1" applyBorder="1" applyAlignment="1">
      <alignment vertical="center" wrapText="1"/>
    </xf>
    <xf numFmtId="0" fontId="12" fillId="0" borderId="0" xfId="2" applyFont="1" applyBorder="1" applyAlignment="1">
      <alignment horizontal="distributed" vertical="center"/>
    </xf>
    <xf numFmtId="3" fontId="10" fillId="0" borderId="0" xfId="2" applyNumberFormat="1" applyFont="1" applyBorder="1" applyAlignment="1">
      <alignment horizontal="right" vertical="center"/>
    </xf>
    <xf numFmtId="0" fontId="0" fillId="0" borderId="0" xfId="0" applyAlignment="1">
      <alignment horizontal="center" vertical="center"/>
    </xf>
    <xf numFmtId="3" fontId="2" fillId="0" borderId="0" xfId="0" applyNumberFormat="1" applyFont="1" applyAlignment="1">
      <alignment horizontal="left" vertical="center"/>
    </xf>
    <xf numFmtId="0" fontId="4" fillId="0" borderId="0" xfId="0" applyFont="1" applyFill="1" applyAlignment="1">
      <alignment horizontal="left" vertical="center"/>
    </xf>
    <xf numFmtId="3" fontId="3" fillId="0" borderId="0" xfId="0" applyNumberFormat="1" applyFont="1" applyFill="1" applyAlignment="1">
      <alignment horizontal="center" vertical="center"/>
    </xf>
    <xf numFmtId="177" fontId="2" fillId="0" borderId="0" xfId="0" applyNumberFormat="1" applyFont="1" applyAlignment="1">
      <alignment horizontal="left" vertical="center"/>
    </xf>
    <xf numFmtId="0" fontId="0" fillId="0" borderId="0" xfId="0" applyAlignment="1">
      <alignment horizontal="center" vertical="center"/>
    </xf>
    <xf numFmtId="0" fontId="16" fillId="0" borderId="0" xfId="0" applyFont="1">
      <alignment vertical="center"/>
    </xf>
    <xf numFmtId="0" fontId="17" fillId="0" borderId="1" xfId="0" applyFont="1" applyBorder="1" applyAlignment="1">
      <alignment horizontal="center" vertical="center" wrapText="1"/>
    </xf>
    <xf numFmtId="0" fontId="17" fillId="0" borderId="1" xfId="0" applyFont="1" applyBorder="1" applyAlignment="1">
      <alignment horizontal="left" vertical="center" wrapText="1"/>
    </xf>
    <xf numFmtId="0" fontId="16" fillId="0" borderId="0" xfId="0" applyFont="1" applyAlignment="1">
      <alignment horizontal="left" vertical="center"/>
    </xf>
    <xf numFmtId="0" fontId="2" fillId="0" borderId="0" xfId="0" applyFont="1" applyAlignment="1">
      <alignment horizontal="center" vertical="center"/>
    </xf>
    <xf numFmtId="38" fontId="3" fillId="0" borderId="12" xfId="1" applyFont="1" applyFill="1" applyBorder="1">
      <alignment vertical="center"/>
    </xf>
    <xf numFmtId="38" fontId="3" fillId="0" borderId="0" xfId="1" applyFont="1" applyFill="1" applyBorder="1">
      <alignment vertical="center"/>
    </xf>
    <xf numFmtId="38" fontId="3" fillId="0" borderId="4" xfId="1" applyFont="1" applyFill="1" applyBorder="1">
      <alignment vertical="center"/>
    </xf>
    <xf numFmtId="0" fontId="2" fillId="0" borderId="0" xfId="0" applyFont="1" applyAlignment="1">
      <alignment horizontal="center" vertical="center"/>
    </xf>
    <xf numFmtId="0" fontId="0" fillId="0" borderId="0" xfId="0" applyAlignment="1">
      <alignment horizontal="center" vertical="center"/>
    </xf>
    <xf numFmtId="0" fontId="8" fillId="0" borderId="0" xfId="2" applyFont="1" applyAlignment="1">
      <alignment horizontal="distributed" vertical="center" justifyLastLine="1"/>
    </xf>
    <xf numFmtId="0" fontId="2" fillId="0" borderId="0" xfId="0" applyFont="1" applyAlignment="1">
      <alignment vertical="center"/>
    </xf>
    <xf numFmtId="0" fontId="0" fillId="0" borderId="0" xfId="0" applyProtection="1">
      <alignmen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center" vertical="center"/>
      <protection locked="0"/>
    </xf>
    <xf numFmtId="0" fontId="2" fillId="0" borderId="0" xfId="0" applyFont="1" applyProtection="1">
      <alignment vertical="center"/>
      <protection locked="0"/>
    </xf>
    <xf numFmtId="0" fontId="2" fillId="2" borderId="0" xfId="0" applyFont="1" applyFill="1" applyAlignment="1" applyProtection="1">
      <alignment horizontal="center" vertical="center"/>
      <protection locked="0"/>
    </xf>
    <xf numFmtId="0" fontId="2" fillId="0" borderId="0" xfId="0" applyFont="1" applyAlignment="1" applyProtection="1">
      <alignment vertical="center"/>
      <protection locked="0"/>
    </xf>
    <xf numFmtId="0" fontId="2" fillId="0" borderId="0" xfId="0" applyFont="1" applyFill="1" applyAlignment="1" applyProtection="1">
      <alignment horizontal="center" vertical="center"/>
      <protection locked="0"/>
    </xf>
    <xf numFmtId="0" fontId="2" fillId="3" borderId="0" xfId="0" applyFont="1" applyFill="1" applyAlignment="1" applyProtection="1">
      <alignment horizontal="center" vertical="center"/>
      <protection locked="0"/>
    </xf>
    <xf numFmtId="0" fontId="2" fillId="0" borderId="0" xfId="0" applyFont="1" applyAlignment="1" applyProtection="1">
      <alignment horizontal="left" vertical="center"/>
      <protection locked="0"/>
    </xf>
    <xf numFmtId="0" fontId="2" fillId="3" borderId="0" xfId="0" applyFont="1" applyFill="1" applyAlignment="1" applyProtection="1">
      <alignment horizontal="right" vertical="center"/>
      <protection locked="0"/>
    </xf>
    <xf numFmtId="0" fontId="2" fillId="0" borderId="0" xfId="0" applyFont="1" applyFill="1" applyAlignment="1" applyProtection="1">
      <alignment horizontal="right" vertical="center"/>
      <protection locked="0"/>
    </xf>
    <xf numFmtId="3" fontId="2" fillId="2" borderId="0" xfId="0" applyNumberFormat="1" applyFont="1" applyFill="1" applyAlignment="1" applyProtection="1">
      <alignment horizontal="center" vertical="center" shrinkToFit="1"/>
      <protection locked="0"/>
    </xf>
    <xf numFmtId="0" fontId="0" fillId="0" borderId="0" xfId="0" applyFill="1" applyProtection="1">
      <alignment vertical="center"/>
      <protection locked="0"/>
    </xf>
    <xf numFmtId="0" fontId="2" fillId="0" borderId="0" xfId="0" applyFont="1" applyFill="1" applyProtection="1">
      <alignment vertical="center"/>
      <protection locked="0"/>
    </xf>
    <xf numFmtId="0" fontId="2" fillId="0" borderId="0" xfId="0" applyFont="1" applyAlignment="1">
      <alignment horizontal="center" vertical="center"/>
    </xf>
    <xf numFmtId="0" fontId="0" fillId="0" borderId="0" xfId="0" applyAlignment="1">
      <alignment horizontal="center" vertical="center"/>
    </xf>
    <xf numFmtId="0" fontId="14" fillId="2" borderId="0" xfId="0" applyFont="1" applyFill="1" applyAlignment="1" applyProtection="1">
      <alignment horizontal="left" vertical="top" wrapText="1"/>
      <protection locked="0"/>
    </xf>
    <xf numFmtId="0" fontId="3" fillId="0" borderId="1" xfId="0" applyFont="1" applyFill="1" applyBorder="1" applyAlignment="1">
      <alignment horizontal="center" vertical="center"/>
    </xf>
    <xf numFmtId="0" fontId="3" fillId="0" borderId="11" xfId="0" applyFont="1" applyFill="1" applyBorder="1" applyAlignment="1">
      <alignment horizontal="center" vertical="center"/>
    </xf>
    <xf numFmtId="0" fontId="18" fillId="0" borderId="0" xfId="0" applyFont="1" applyAlignment="1">
      <alignment horizontal="left" vertical="center" wrapText="1"/>
    </xf>
    <xf numFmtId="0" fontId="16" fillId="0" borderId="0" xfId="0" applyFont="1" applyFill="1" applyAlignment="1">
      <alignment horizontal="left" vertical="center" wrapText="1"/>
    </xf>
    <xf numFmtId="0" fontId="15" fillId="0" borderId="0" xfId="0" applyFont="1" applyAlignment="1">
      <alignment horizontal="center" vertical="center"/>
    </xf>
    <xf numFmtId="0" fontId="16" fillId="0" borderId="0" xfId="0" applyFont="1" applyAlignment="1">
      <alignment horizontal="left" vertical="center" wrapText="1"/>
    </xf>
    <xf numFmtId="0" fontId="17" fillId="0" borderId="0" xfId="0" applyFont="1" applyBorder="1" applyAlignment="1">
      <alignment horizontal="left" vertical="center" wrapText="1"/>
    </xf>
    <xf numFmtId="0" fontId="16" fillId="0" borderId="0" xfId="0" applyFont="1" applyFill="1" applyAlignment="1">
      <alignment horizontal="left" vertical="top" wrapText="1"/>
    </xf>
    <xf numFmtId="0" fontId="8" fillId="0" borderId="0" xfId="2" applyFont="1" applyAlignment="1">
      <alignment horizontal="distributed" vertical="center" justifyLastLine="1"/>
    </xf>
    <xf numFmtId="0" fontId="6" fillId="0" borderId="1" xfId="2" applyBorder="1" applyAlignment="1">
      <alignment horizontal="center" vertical="center"/>
    </xf>
    <xf numFmtId="0" fontId="6" fillId="0" borderId="6" xfId="2" applyBorder="1" applyAlignment="1">
      <alignment horizontal="center" vertical="center" wrapText="1"/>
    </xf>
    <xf numFmtId="0" fontId="6" fillId="0" borderId="7" xfId="2" applyBorder="1" applyAlignment="1">
      <alignment horizontal="center" vertical="center" wrapText="1"/>
    </xf>
    <xf numFmtId="0" fontId="6" fillId="0" borderId="8" xfId="2" applyBorder="1" applyAlignment="1">
      <alignment horizontal="center" vertical="center" wrapText="1"/>
    </xf>
    <xf numFmtId="0" fontId="6" fillId="0" borderId="10" xfId="2" applyBorder="1" applyAlignment="1">
      <alignment horizontal="center" vertical="center" wrapText="1"/>
    </xf>
    <xf numFmtId="0" fontId="6" fillId="0" borderId="4" xfId="2" applyBorder="1" applyAlignment="1">
      <alignment horizontal="center" vertical="center" wrapText="1"/>
    </xf>
    <xf numFmtId="0" fontId="6" fillId="0" borderId="5" xfId="2" applyBorder="1" applyAlignment="1">
      <alignment horizontal="center" vertical="center" wrapText="1"/>
    </xf>
    <xf numFmtId="0" fontId="6" fillId="0" borderId="11" xfId="2" applyBorder="1" applyAlignment="1">
      <alignment horizontal="center" vertical="center"/>
    </xf>
    <xf numFmtId="0" fontId="6" fillId="0" borderId="12" xfId="2" applyBorder="1" applyAlignment="1">
      <alignment horizontal="center" vertical="center"/>
    </xf>
    <xf numFmtId="0" fontId="6" fillId="0" borderId="13" xfId="2" applyBorder="1" applyAlignment="1">
      <alignment horizontal="center" vertical="center"/>
    </xf>
    <xf numFmtId="0" fontId="6" fillId="0" borderId="10" xfId="2" applyBorder="1" applyAlignment="1">
      <alignment horizontal="center" vertical="center"/>
    </xf>
    <xf numFmtId="0" fontId="6" fillId="0" borderId="4" xfId="2" applyBorder="1" applyAlignment="1">
      <alignment horizontal="center" vertical="center"/>
    </xf>
    <xf numFmtId="0" fontId="6" fillId="0" borderId="5" xfId="2" applyBorder="1" applyAlignment="1">
      <alignment horizontal="center" vertical="center"/>
    </xf>
  </cellXfs>
  <cellStyles count="5">
    <cellStyle name="桁区切り" xfId="1" builtinId="6"/>
    <cellStyle name="桁区切り 2" xfId="3" xr:uid="{A37FF82E-F4E9-4105-8393-5F3627C7CEC4}"/>
    <cellStyle name="標準" xfId="0" builtinId="0"/>
    <cellStyle name="標準 2" xfId="2" xr:uid="{7DB80E07-33D5-4977-893B-53BDDE6E3C65}"/>
    <cellStyle name="標準 3" xfId="4" xr:uid="{BF5C3573-AAB9-456A-84CC-30F29A6177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CD279-5A3F-4899-96CE-6F8F1492BC05}">
  <sheetPr>
    <tabColor rgb="FFFFFF00"/>
  </sheetPr>
  <dimension ref="A1:AB31"/>
  <sheetViews>
    <sheetView tabSelected="1" view="pageBreakPreview" zoomScale="115" zoomScaleNormal="115" zoomScaleSheetLayoutView="115" workbookViewId="0"/>
  </sheetViews>
  <sheetFormatPr defaultRowHeight="13.5" x14ac:dyDescent="0.15"/>
  <cols>
    <col min="1" max="1" width="2.625" customWidth="1"/>
    <col min="2" max="2" width="18.625" customWidth="1"/>
    <col min="3" max="3" width="17.375" customWidth="1"/>
    <col min="4" max="4" width="3.375" customWidth="1"/>
    <col min="5" max="5" width="6.375" customWidth="1"/>
    <col min="6" max="6" width="5.875" customWidth="1"/>
    <col min="7" max="7" width="3.875" customWidth="1"/>
    <col min="8" max="8" width="4.5" bestFit="1" customWidth="1"/>
    <col min="9" max="9" width="2.875" bestFit="1" customWidth="1"/>
    <col min="10" max="10" width="4.5" bestFit="1" customWidth="1"/>
    <col min="11" max="11" width="3.375" bestFit="1" customWidth="1"/>
    <col min="12" max="12" width="4.625" customWidth="1"/>
    <col min="13" max="13" width="3.375" bestFit="1" customWidth="1"/>
    <col min="14" max="14" width="3.5" bestFit="1" customWidth="1"/>
    <col min="15" max="15" width="3.375" bestFit="1" customWidth="1"/>
    <col min="16" max="16" width="6.25" bestFit="1" customWidth="1"/>
    <col min="17" max="17" width="3.375" bestFit="1" customWidth="1"/>
    <col min="18" max="18" width="5.375" customWidth="1"/>
    <col min="19" max="19" width="10" customWidth="1"/>
    <col min="20" max="20" width="9.875" customWidth="1"/>
    <col min="21" max="21" width="8.75" customWidth="1"/>
    <col min="22" max="22" width="15" customWidth="1"/>
    <col min="23" max="23" width="7.875" customWidth="1"/>
    <col min="24" max="24" width="4.5" customWidth="1"/>
    <col min="26" max="26" width="10.25" customWidth="1"/>
    <col min="27" max="27" width="4.5" customWidth="1"/>
    <col min="28" max="28" width="17.75" customWidth="1"/>
  </cols>
  <sheetData>
    <row r="1" spans="1:28" ht="30.75" customHeight="1" x14ac:dyDescent="0.15">
      <c r="A1" s="105"/>
      <c r="B1" s="105"/>
      <c r="C1" s="106" t="s">
        <v>83</v>
      </c>
      <c r="D1" s="105"/>
    </row>
    <row r="2" spans="1:28" x14ac:dyDescent="0.15">
      <c r="A2" s="105"/>
      <c r="B2" s="105"/>
      <c r="C2" s="107"/>
      <c r="D2" s="108"/>
    </row>
    <row r="3" spans="1:28" x14ac:dyDescent="0.15">
      <c r="A3" s="105"/>
      <c r="B3" s="111"/>
      <c r="C3" s="111"/>
      <c r="D3" s="105"/>
      <c r="S3" s="1"/>
      <c r="T3" s="2" t="s">
        <v>97</v>
      </c>
      <c r="U3" s="1" t="s">
        <v>63</v>
      </c>
      <c r="V3" s="73" t="s">
        <v>63</v>
      </c>
      <c r="W3" s="1" t="s">
        <v>88</v>
      </c>
      <c r="X3" s="1"/>
      <c r="AA3" s="1"/>
      <c r="AB3" s="1"/>
    </row>
    <row r="4" spans="1:28" x14ac:dyDescent="0.15">
      <c r="A4" s="105"/>
      <c r="B4" s="111"/>
      <c r="C4" s="117"/>
      <c r="D4" s="110"/>
      <c r="E4" s="104"/>
      <c r="F4" s="104"/>
      <c r="G4" s="104"/>
      <c r="H4" s="119"/>
      <c r="I4" s="120"/>
      <c r="J4" s="120"/>
      <c r="K4" s="120"/>
      <c r="L4" s="119"/>
      <c r="M4" s="120"/>
      <c r="N4" s="120"/>
      <c r="O4" s="120"/>
      <c r="P4" s="120"/>
      <c r="Q4" s="120"/>
      <c r="S4" s="1"/>
      <c r="T4" s="2"/>
      <c r="U4" s="41" t="s">
        <v>43</v>
      </c>
      <c r="V4" s="88"/>
      <c r="W4" s="1" t="s">
        <v>84</v>
      </c>
      <c r="X4" s="1"/>
      <c r="AB4" s="1"/>
    </row>
    <row r="5" spans="1:28" x14ac:dyDescent="0.15">
      <c r="A5" s="105"/>
      <c r="B5" s="115"/>
      <c r="C5" s="111"/>
      <c r="D5" s="105"/>
      <c r="E5" s="102" t="str" cm="1">
        <f t="array" aca="1" ref="E5" ca="1">IFERROR((_xlfn.XLOOKUP($C5,INDIRECT($C$3&amp;"!$A7:A16"),INDIRECT($C$3&amp;"!B7:B16"))),"")</f>
        <v/>
      </c>
      <c r="F5" s="102" t="str" cm="1">
        <f t="array" aca="1" ref="F5" ca="1">IFERROR((_xlfn.XLOOKUP($C5,INDIRECT($C$3&amp;"!$A7:A16"),INDIRECT($C$3&amp;"!C7:C16"))),"")</f>
        <v/>
      </c>
      <c r="G5" s="101" t="s">
        <v>10</v>
      </c>
      <c r="H5" s="102" t="str" cm="1">
        <f t="array" aca="1" ref="H5" ca="1">IFERROR((_xlfn.XLOOKUP($C5,INDIRECT($C$3&amp;"!$A7:A16"),INDIRECT($C$3&amp;"!E7:E16"))),"")</f>
        <v/>
      </c>
      <c r="I5" s="101" t="s">
        <v>44</v>
      </c>
      <c r="J5" s="102" t="str" cm="1">
        <f t="array" aca="1" ref="J5" ca="1">IFERROR((_xlfn.XLOOKUP($C5,INDIRECT($C$3&amp;"!$A7:A16"),INDIRECT($C$3&amp;"!G7:G16"))),"")</f>
        <v/>
      </c>
      <c r="K5" s="101" t="s">
        <v>10</v>
      </c>
      <c r="L5" s="102" t="str" cm="1">
        <f t="array" aca="1" ref="L5" ca="1">IFERROR((_xlfn.XLOOKUP($C5,INDIRECT($C$3&amp;"!$A7:A16"),INDIRECT($C$3&amp;"!I7:I16"))),"")</f>
        <v/>
      </c>
      <c r="M5" s="101" t="s">
        <v>65</v>
      </c>
      <c r="N5" s="102" t="str" cm="1">
        <f t="array" aca="1" ref="N5" ca="1">IFERROR((_xlfn.XLOOKUP($C5,INDIRECT($C$3&amp;"!$A7:A16"),INDIRECT($C$3&amp;"!K7:K16"))),"")</f>
        <v/>
      </c>
      <c r="O5" s="101" t="s">
        <v>46</v>
      </c>
      <c r="P5" s="102" t="str" cm="1">
        <f t="array" aca="1" ref="P5" ca="1">IFERROR((_xlfn.XLOOKUP($C5,INDIRECT($C$3&amp;"!$A7:A16"),INDIRECT($C$3&amp;"!M7:M16"))),"")</f>
        <v/>
      </c>
      <c r="Q5" s="97" t="s">
        <v>10</v>
      </c>
      <c r="R5" s="40"/>
      <c r="S5" s="92"/>
      <c r="T5" s="2"/>
      <c r="U5" s="41" t="s">
        <v>48</v>
      </c>
      <c r="V5" s="88" t="s">
        <v>72</v>
      </c>
      <c r="W5" s="1" t="s">
        <v>85</v>
      </c>
      <c r="AB5" s="1"/>
    </row>
    <row r="6" spans="1:28" x14ac:dyDescent="0.15">
      <c r="A6" s="105"/>
      <c r="B6" s="115"/>
      <c r="C6" s="111"/>
      <c r="D6" s="105"/>
      <c r="E6" s="102" t="str" cm="1">
        <f t="array" aca="1" ref="E6" ca="1">IFERROR((_xlfn.XLOOKUP($C6,INDIRECT($C$3&amp;"!$A19:A26"),INDIRECT($C$3&amp;"!B19:B26"))),"")</f>
        <v/>
      </c>
      <c r="F6" s="102" t="str" cm="1">
        <f t="array" aca="1" ref="F6" ca="1">IFERROR((_xlfn.XLOOKUP($C6,INDIRECT($C$3&amp;"!$A19:A26"),INDIRECT($C$3&amp;"!C19:C26"))),"")</f>
        <v/>
      </c>
      <c r="G6" s="101" t="s">
        <v>10</v>
      </c>
      <c r="H6" s="102" t="str" cm="1">
        <f t="array" aca="1" ref="H6" ca="1">IFERROR((_xlfn.XLOOKUP($C6,INDIRECT($C$3&amp;"!$A19:A26"),INDIRECT($C$3&amp;"!E19:E26"))),"")</f>
        <v/>
      </c>
      <c r="I6" s="101" t="s">
        <v>44</v>
      </c>
      <c r="J6" s="102" t="str" cm="1">
        <f t="array" aca="1" ref="J6" ca="1">IFERROR((_xlfn.XLOOKUP($C6,INDIRECT($C$3&amp;"!$A19:A26"),INDIRECT($C$3&amp;"!G19:G26"))),"")</f>
        <v/>
      </c>
      <c r="K6" s="101" t="s">
        <v>10</v>
      </c>
      <c r="L6" s="102" t="str" cm="1">
        <f t="array" aca="1" ref="L6" ca="1">IFERROR((_xlfn.XLOOKUP($C6,INDIRECT($C$3&amp;"!$A19:A26"),INDIRECT($C$3&amp;"!I19:I26"))),"")</f>
        <v/>
      </c>
      <c r="M6" s="101" t="s">
        <v>65</v>
      </c>
      <c r="N6" s="102" t="str" cm="1">
        <f t="array" aca="1" ref="N6" ca="1">IFERROR((_xlfn.XLOOKUP($C6,INDIRECT($C$3&amp;"!$A19:A26"),INDIRECT($C$3&amp;"!K19:K26"))),"")</f>
        <v/>
      </c>
      <c r="O6" s="101" t="s">
        <v>46</v>
      </c>
      <c r="P6" s="102" t="str" cm="1">
        <f t="array" aca="1" ref="P6" ca="1">IFERROR((_xlfn.XLOOKUP($C6,INDIRECT($C$3&amp;"!$A19:A26"),INDIRECT($C$3&amp;"!M19:M26"))),"")</f>
        <v/>
      </c>
      <c r="Q6" s="97" t="s">
        <v>10</v>
      </c>
      <c r="R6" s="40"/>
      <c r="S6" s="92"/>
      <c r="T6" s="2"/>
      <c r="U6" s="41" t="s">
        <v>49</v>
      </c>
      <c r="W6" s="1" t="s">
        <v>89</v>
      </c>
      <c r="Z6" s="74"/>
      <c r="AA6" s="1"/>
      <c r="AB6" s="1"/>
    </row>
    <row r="7" spans="1:28" x14ac:dyDescent="0.15">
      <c r="A7" s="105"/>
      <c r="B7" s="115"/>
      <c r="C7" s="111"/>
      <c r="D7" s="105"/>
      <c r="E7" s="102" t="str" cm="1">
        <f t="array" aca="1" ref="E7" ca="1">IFERROR((_xlfn.XLOOKUP($C7,INDIRECT($C$3&amp;"!$A31:A37"),INDIRECT($C$3&amp;"!B31:B37"))),"")</f>
        <v/>
      </c>
      <c r="F7" s="102" t="str" cm="1">
        <f t="array" aca="1" ref="F7" ca="1">IFERROR((_xlfn.XLOOKUP($C7,INDIRECT($C$3&amp;"!$A31:A37"),INDIRECT($C$3&amp;"!C31:C37"))),"")</f>
        <v/>
      </c>
      <c r="G7" s="101" t="s">
        <v>10</v>
      </c>
      <c r="H7" s="102" t="str" cm="1">
        <f t="array" aca="1" ref="H7" ca="1">IFERROR((_xlfn.XLOOKUP($C7,INDIRECT($C$3&amp;"!$A31:A37"),INDIRECT($C$3&amp;"!E31:E37"))),"")</f>
        <v/>
      </c>
      <c r="I7" s="101" t="s">
        <v>44</v>
      </c>
      <c r="J7" s="102" t="str" cm="1">
        <f t="array" aca="1" ref="J7" ca="1">IFERROR((_xlfn.XLOOKUP($C7,INDIRECT($C$3&amp;"!$A31:A37"),INDIRECT($C$3&amp;"!G31:G37"))),"")</f>
        <v/>
      </c>
      <c r="K7" s="101" t="s">
        <v>10</v>
      </c>
      <c r="L7" s="102" t="str" cm="1">
        <f t="array" aca="1" ref="L7" ca="1">IFERROR((_xlfn.XLOOKUP($C7,INDIRECT($C$3&amp;"!$A31:A37"),INDIRECT($C$3&amp;"!I31:I37"))),"")</f>
        <v/>
      </c>
      <c r="M7" s="101" t="s">
        <v>65</v>
      </c>
      <c r="N7" s="102" t="str" cm="1">
        <f t="array" aca="1" ref="N7" ca="1">IFERROR((_xlfn.XLOOKUP($C7,INDIRECT($C$3&amp;"!$A31:A37"),INDIRECT($C$3&amp;"!K31:K37"))),"")</f>
        <v/>
      </c>
      <c r="O7" s="101" t="s">
        <v>46</v>
      </c>
      <c r="P7" s="102" t="str" cm="1">
        <f t="array" aca="1" ref="P7" ca="1">IFERROR((_xlfn.XLOOKUP($C7,INDIRECT($C$3&amp;"!$A31:A37"),INDIRECT($C$3&amp;"!M31:M37"))),"")</f>
        <v/>
      </c>
      <c r="Q7" s="97" t="s">
        <v>10</v>
      </c>
      <c r="R7" s="40"/>
      <c r="S7" s="92"/>
      <c r="T7" s="2"/>
      <c r="U7" s="41" t="s">
        <v>50</v>
      </c>
      <c r="V7" s="1" t="s">
        <v>63</v>
      </c>
      <c r="W7" s="1" t="s">
        <v>86</v>
      </c>
    </row>
    <row r="8" spans="1:28" x14ac:dyDescent="0.15">
      <c r="A8" s="105"/>
      <c r="B8" s="111"/>
      <c r="C8" s="118"/>
      <c r="D8" s="105"/>
      <c r="I8" s="41"/>
      <c r="R8" s="40"/>
      <c r="S8" s="92"/>
      <c r="T8" s="2"/>
      <c r="U8" s="73" t="s">
        <v>94</v>
      </c>
      <c r="V8" s="1" t="s">
        <v>76</v>
      </c>
      <c r="W8" s="1" t="s">
        <v>95</v>
      </c>
    </row>
    <row r="9" spans="1:28" x14ac:dyDescent="0.15">
      <c r="A9" s="105"/>
      <c r="B9" s="111"/>
      <c r="C9" s="117"/>
      <c r="D9" s="105"/>
      <c r="T9" s="2"/>
      <c r="U9" s="41" t="s">
        <v>51</v>
      </c>
      <c r="W9" s="1"/>
    </row>
    <row r="10" spans="1:28" x14ac:dyDescent="0.15">
      <c r="A10" s="105"/>
      <c r="B10" s="115"/>
      <c r="C10" s="111"/>
      <c r="D10" s="105"/>
      <c r="E10" s="102" t="str" cm="1">
        <f t="array" aca="1" ref="E10" ca="1">IFERROR((_xlfn.XLOOKUP($C10,INDIRECT($C$3&amp;"!$A7:A16"),INDIRECT($C$3&amp;"!Q7:Q16"))),"")</f>
        <v/>
      </c>
      <c r="F10" s="102" t="str" cm="1">
        <f t="array" aca="1" ref="F10" ca="1">IFERROR((_xlfn.XLOOKUP($C10,INDIRECT($C$3&amp;"!$A7:A16"),INDIRECT($C$3&amp;"!R7:R16"))),"")</f>
        <v/>
      </c>
      <c r="G10" s="101" t="s">
        <v>10</v>
      </c>
      <c r="T10" s="2"/>
      <c r="U10" s="41" t="s">
        <v>52</v>
      </c>
    </row>
    <row r="11" spans="1:28" x14ac:dyDescent="0.15">
      <c r="A11" s="105"/>
      <c r="B11" s="115"/>
      <c r="C11" s="111"/>
      <c r="D11" s="105"/>
      <c r="E11" s="102" t="str" cm="1">
        <f t="array" aca="1" ref="E11" ca="1">IFERROR((_xlfn.XLOOKUP($C11,INDIRECT($C$3&amp;"!$A19:A26"),INDIRECT($C$3&amp;"!Q19:Q26"))),"")</f>
        <v/>
      </c>
      <c r="F11" s="102" t="str" cm="1">
        <f t="array" aca="1" ref="F11" ca="1">IFERROR((_xlfn.XLOOKUP($C11,INDIRECT($C$3&amp;"!$A19:A26"),INDIRECT($C$3&amp;"!R19:R26"))),"")</f>
        <v/>
      </c>
      <c r="G11" s="101" t="s">
        <v>10</v>
      </c>
      <c r="T11" s="2"/>
      <c r="U11" s="41" t="s">
        <v>53</v>
      </c>
      <c r="W11" s="1"/>
    </row>
    <row r="12" spans="1:28" x14ac:dyDescent="0.15">
      <c r="A12" s="105"/>
      <c r="B12" s="115"/>
      <c r="C12" s="111"/>
      <c r="D12" s="105"/>
      <c r="E12" s="102" t="str" cm="1">
        <f t="array" aca="1" ref="E12" ca="1">IFERROR((_xlfn.XLOOKUP($C12,INDIRECT($C$3&amp;"!$A31:A37"),INDIRECT($C$3&amp;"!Q31:Q37"))),"")</f>
        <v/>
      </c>
      <c r="F12" s="102" t="str" cm="1">
        <f t="array" aca="1" ref="F12" ca="1">IFERROR((_xlfn.XLOOKUP($C12,INDIRECT($C$3&amp;"!$A31:A37"),INDIRECT($C$3&amp;"!R31:R37"))),"")</f>
        <v/>
      </c>
      <c r="G12" s="101" t="s">
        <v>10</v>
      </c>
      <c r="T12" s="2"/>
      <c r="U12" s="41" t="s">
        <v>54</v>
      </c>
      <c r="W12" s="1"/>
    </row>
    <row r="13" spans="1:28" x14ac:dyDescent="0.15">
      <c r="A13" s="105"/>
      <c r="B13" s="111"/>
      <c r="C13" s="108"/>
      <c r="D13" s="105"/>
      <c r="U13" s="41" t="s">
        <v>55</v>
      </c>
      <c r="W13" s="1"/>
    </row>
    <row r="14" spans="1:28" x14ac:dyDescent="0.15">
      <c r="A14" s="105"/>
      <c r="B14" s="105"/>
      <c r="C14" s="107" t="s">
        <v>64</v>
      </c>
      <c r="D14" s="105"/>
    </row>
    <row r="15" spans="1:28" x14ac:dyDescent="0.15">
      <c r="A15" s="105"/>
      <c r="B15" s="112" t="s">
        <v>69</v>
      </c>
      <c r="C15" s="109" t="s">
        <v>97</v>
      </c>
      <c r="D15" s="113"/>
      <c r="E15" s="101"/>
      <c r="F15" s="101"/>
      <c r="G15" s="1"/>
      <c r="H15" s="1"/>
      <c r="T15" s="2"/>
    </row>
    <row r="16" spans="1:28" x14ac:dyDescent="0.15">
      <c r="A16" s="105"/>
      <c r="B16" s="112" t="s">
        <v>40</v>
      </c>
      <c r="C16" s="105"/>
      <c r="D16" s="107"/>
      <c r="E16" s="101"/>
      <c r="F16" s="101"/>
      <c r="G16" s="101"/>
      <c r="H16" s="101"/>
      <c r="I16" s="102"/>
      <c r="J16" s="102"/>
      <c r="K16" s="102"/>
      <c r="L16" s="101"/>
      <c r="M16" s="102"/>
      <c r="N16" s="102"/>
      <c r="O16" s="102"/>
      <c r="P16" s="102"/>
      <c r="Q16" s="40"/>
      <c r="T16" s="2"/>
    </row>
    <row r="17" spans="1:24" x14ac:dyDescent="0.15">
      <c r="A17" s="105"/>
      <c r="B17" s="114" t="s">
        <v>8</v>
      </c>
      <c r="C17" s="109" t="s">
        <v>43</v>
      </c>
      <c r="D17" s="105"/>
      <c r="E17" s="102" t="str" cm="1">
        <f t="array" aca="1" ref="E17" ca="1">IFERROR((_xlfn.XLOOKUP($C17,INDIRECT($C$15&amp;"!$A7:A16"),INDIRECT($C$15&amp;"!B7:B16"))),"")</f>
        <v>1.4km</v>
      </c>
      <c r="F17" s="102" cm="1">
        <f t="array" aca="1" ref="F17" ca="1">IFERROR((_xlfn.XLOOKUP($C17,INDIRECT($C$15&amp;"!$A7:A16"),INDIRECT($C$15&amp;"!C7:C16"))),"")</f>
        <v>970</v>
      </c>
      <c r="G17" s="101" t="s">
        <v>10</v>
      </c>
      <c r="H17" s="102" cm="1">
        <f t="array" aca="1" ref="H17" ca="1">IFERROR((_xlfn.XLOOKUP($C17,INDIRECT($C$15&amp;"!$A7:A16"),INDIRECT($C$15&amp;"!E7:E16"))),"")</f>
        <v>172</v>
      </c>
      <c r="I17" s="101" t="s">
        <v>44</v>
      </c>
      <c r="J17" s="102" cm="1">
        <f t="array" aca="1" ref="J17" ca="1">IFERROR((_xlfn.XLOOKUP($C17,INDIRECT($C$15&amp;"!$A7:A16"),INDIRECT($C$15&amp;"!G7:G16"))),"")</f>
        <v>110</v>
      </c>
      <c r="K17" s="101" t="s">
        <v>10</v>
      </c>
      <c r="L17" s="102" cm="1">
        <f t="array" aca="1" ref="L17" ca="1">IFERROR((_xlfn.XLOOKUP($C17,INDIRECT($C$15&amp;"!$A7:A16"),INDIRECT($C$15&amp;"!I7:I16"))),"")</f>
        <v>1</v>
      </c>
      <c r="M17" s="101" t="s">
        <v>65</v>
      </c>
      <c r="N17" s="102" cm="1">
        <f t="array" aca="1" ref="N17" ca="1">IFERROR((_xlfn.XLOOKUP($C17,INDIRECT($C$15&amp;"!$A7:A16"),INDIRECT($C$15&amp;"!K7:K16"))),"")</f>
        <v>5</v>
      </c>
      <c r="O17" s="101" t="s">
        <v>46</v>
      </c>
      <c r="P17" s="102" cm="1">
        <f t="array" aca="1" ref="P17" ca="1">IFERROR((_xlfn.XLOOKUP($C17,INDIRECT($C$15&amp;"!$A7:A16"),INDIRECT($C$15&amp;"!M7:M16"))),"")</f>
        <v>110</v>
      </c>
      <c r="Q17" s="97" t="s">
        <v>10</v>
      </c>
      <c r="R17" s="75"/>
      <c r="S17" s="92"/>
      <c r="T17" s="2"/>
    </row>
    <row r="18" spans="1:24" x14ac:dyDescent="0.15">
      <c r="A18" s="105"/>
      <c r="B18" s="114" t="s">
        <v>5</v>
      </c>
      <c r="C18" s="109" t="s">
        <v>43</v>
      </c>
      <c r="D18" s="105"/>
      <c r="E18" s="102" t="str" cm="1">
        <f t="array" aca="1" ref="E18" ca="1">IFERROR((_xlfn.XLOOKUP($C18,INDIRECT($C$15&amp;"!$A19:A26"),INDIRECT($C$15&amp;"!B19:B26"))),"")</f>
        <v>1.4km</v>
      </c>
      <c r="F18" s="102" cm="1">
        <f t="array" aca="1" ref="F18" ca="1">IFERROR((_xlfn.XLOOKUP($C18,INDIRECT($C$15&amp;"!$A19:A26"),INDIRECT($C$15&amp;"!C19:C26"))),"")</f>
        <v>920</v>
      </c>
      <c r="G18" s="101" t="s">
        <v>10</v>
      </c>
      <c r="H18" s="102" cm="1">
        <f t="array" aca="1" ref="H18" ca="1">IFERROR((_xlfn.XLOOKUP($C18,INDIRECT($C$15&amp;"!$A19:A26"),INDIRECT($C$15&amp;"!E19:E26"))),"")</f>
        <v>157</v>
      </c>
      <c r="I18" s="101" t="s">
        <v>44</v>
      </c>
      <c r="J18" s="102" cm="1">
        <f t="array" aca="1" ref="J18" ca="1">IFERROR((_xlfn.XLOOKUP($C18,INDIRECT($C$15&amp;"!$A19:A26"),INDIRECT($C$15&amp;"!G19:G26"))),"")</f>
        <v>100</v>
      </c>
      <c r="K18" s="101" t="s">
        <v>10</v>
      </c>
      <c r="L18" s="102" cm="1">
        <f t="array" aca="1" ref="L18" ca="1">IFERROR((_xlfn.XLOOKUP($C18,INDIRECT($C$15&amp;"!$A19:A26"),INDIRECT($C$15&amp;"!I19:I26"))),"")</f>
        <v>1</v>
      </c>
      <c r="M18" s="101" t="s">
        <v>65</v>
      </c>
      <c r="N18" s="102" cm="1">
        <f t="array" aca="1" ref="N18" ca="1">IFERROR((_xlfn.XLOOKUP($C18,INDIRECT($C$15&amp;"!$A19:A26"),INDIRECT($C$15&amp;"!K19:K26"))),"")</f>
        <v>0</v>
      </c>
      <c r="O18" s="101" t="s">
        <v>46</v>
      </c>
      <c r="P18" s="102" cm="1">
        <f t="array" aca="1" ref="P18" ca="1">IFERROR((_xlfn.XLOOKUP($C18,INDIRECT($C$15&amp;"!$A19:A26"),INDIRECT($C$15&amp;"!M19:M26"))),"")</f>
        <v>100</v>
      </c>
      <c r="Q18" s="97" t="s">
        <v>10</v>
      </c>
      <c r="T18" s="2"/>
    </row>
    <row r="19" spans="1:24" x14ac:dyDescent="0.15">
      <c r="A19" s="105"/>
      <c r="B19" s="114" t="s">
        <v>6</v>
      </c>
      <c r="C19" s="109" t="s">
        <v>43</v>
      </c>
      <c r="D19" s="105"/>
      <c r="E19" s="102" t="str" cm="1">
        <f t="array" aca="1" ref="E19" ca="1">IFERROR((_xlfn.XLOOKUP($C19,INDIRECT($C$15&amp;"!$A31:A37"),INDIRECT($C$15&amp;"!B31:B37"))),"")</f>
        <v>1.4km</v>
      </c>
      <c r="F19" s="102" cm="1">
        <f t="array" aca="1" ref="F19" ca="1">IFERROR((_xlfn.XLOOKUP($C19,INDIRECT($C$15&amp;"!$A31:A37"),INDIRECT($C$15&amp;"!C31:C37"))),"")</f>
        <v>800</v>
      </c>
      <c r="G19" s="101" t="s">
        <v>10</v>
      </c>
      <c r="H19" s="102" cm="1">
        <f t="array" aca="1" ref="H19" ca="1">IFERROR((_xlfn.XLOOKUP($C19,INDIRECT($C$15&amp;"!$A31:A37"),INDIRECT($C$15&amp;"!E31:E37"))),"")</f>
        <v>259</v>
      </c>
      <c r="I19" s="101" t="s">
        <v>44</v>
      </c>
      <c r="J19" s="102" cm="1">
        <f t="array" aca="1" ref="J19" ca="1">IFERROR((_xlfn.XLOOKUP($C19,INDIRECT($C$15&amp;"!$A31:A37"),INDIRECT($C$15&amp;"!G31:G37"))),"")</f>
        <v>100</v>
      </c>
      <c r="K19" s="101" t="s">
        <v>10</v>
      </c>
      <c r="L19" s="102" cm="1">
        <f t="array" aca="1" ref="L19" ca="1">IFERROR((_xlfn.XLOOKUP($C19,INDIRECT($C$15&amp;"!$A31:A37"),INDIRECT($C$15&amp;"!I31:I37"))),"")</f>
        <v>1</v>
      </c>
      <c r="M19" s="101" t="s">
        <v>65</v>
      </c>
      <c r="N19" s="102" cm="1">
        <f t="array" aca="1" ref="N19" ca="1">IFERROR((_xlfn.XLOOKUP($C19,INDIRECT($C$15&amp;"!$A31:A37"),INDIRECT($C$15&amp;"!K31:K37"))),"")</f>
        <v>35</v>
      </c>
      <c r="O19" s="101" t="s">
        <v>46</v>
      </c>
      <c r="P19" s="102" cm="1">
        <f t="array" aca="1" ref="P19" ca="1">IFERROR((_xlfn.XLOOKUP($C19,INDIRECT($C$15&amp;"!$A31:A37"),INDIRECT($C$15&amp;"!M31:M37"))),"")</f>
        <v>100</v>
      </c>
      <c r="Q19" s="97" t="s">
        <v>10</v>
      </c>
      <c r="X19" s="2"/>
    </row>
    <row r="20" spans="1:24" x14ac:dyDescent="0.15">
      <c r="A20" s="105"/>
      <c r="B20" s="115"/>
      <c r="C20" s="108"/>
      <c r="D20" s="105"/>
      <c r="I20" s="41"/>
    </row>
    <row r="21" spans="1:24" x14ac:dyDescent="0.15">
      <c r="A21" s="105"/>
      <c r="B21" s="112" t="s">
        <v>61</v>
      </c>
      <c r="C21" s="105"/>
      <c r="D21" s="105"/>
    </row>
    <row r="22" spans="1:24" x14ac:dyDescent="0.15">
      <c r="A22" s="105"/>
      <c r="B22" s="114" t="s">
        <v>8</v>
      </c>
      <c r="C22" s="109" t="s">
        <v>43</v>
      </c>
      <c r="D22" s="105"/>
      <c r="E22" s="102" t="str" cm="1">
        <f t="array" aca="1" ref="E22" ca="1">IFERROR((_xlfn.XLOOKUP($C22,INDIRECT($C$15&amp;"!$A7:A16"),INDIRECT($C$15&amp;"!Q7:Q16"))),"")</f>
        <v>３０分</v>
      </c>
      <c r="F22" s="102" cm="1">
        <f t="array" aca="1" ref="F22" ca="1">IFERROR((_xlfn.XLOOKUP($C22,INDIRECT($C$15&amp;"!$A7:A16"),INDIRECT($C$15&amp;"!R7:R16"))),"")</f>
        <v>5700</v>
      </c>
      <c r="G22" s="101" t="s">
        <v>10</v>
      </c>
    </row>
    <row r="23" spans="1:24" x14ac:dyDescent="0.15">
      <c r="A23" s="105"/>
      <c r="B23" s="114" t="s">
        <v>5</v>
      </c>
      <c r="C23" s="109" t="s">
        <v>43</v>
      </c>
      <c r="D23" s="105"/>
      <c r="E23" s="102" t="str" cm="1">
        <f t="array" aca="1" ref="E23" ca="1">IFERROR((_xlfn.XLOOKUP($C23,INDIRECT($C$15&amp;"!$A19:A26"),INDIRECT($C$15&amp;"!Q19:Q26"))),"")</f>
        <v>３０分</v>
      </c>
      <c r="F23" s="102" cm="1">
        <f t="array" aca="1" ref="F23" ca="1">IFERROR((_xlfn.XLOOKUP($C23,INDIRECT($C$15&amp;"!$A19:A26"),INDIRECT($C$15&amp;"!R19:R26"))),"")</f>
        <v>5650</v>
      </c>
      <c r="G23" s="101" t="s">
        <v>10</v>
      </c>
    </row>
    <row r="24" spans="1:24" x14ac:dyDescent="0.15">
      <c r="A24" s="105"/>
      <c r="B24" s="114" t="s">
        <v>6</v>
      </c>
      <c r="C24" s="109" t="s">
        <v>43</v>
      </c>
      <c r="D24" s="105"/>
      <c r="E24" s="102" t="str" cm="1">
        <f t="array" aca="1" ref="E24" ca="1">IFERROR((_xlfn.XLOOKUP($C24,INDIRECT($C$15&amp;"!$A31:A37"),INDIRECT($C$15&amp;"!Q31:Q37"))),"")</f>
        <v>３０分</v>
      </c>
      <c r="F24" s="102" cm="1">
        <f t="array" aca="1" ref="F24" ca="1">IFERROR((_xlfn.XLOOKUP($C24,INDIRECT($C$15&amp;"!$A31:A37"),INDIRECT($C$15&amp;"!R31:R37"))),"")</f>
        <v>4020</v>
      </c>
      <c r="G24" s="101" t="s">
        <v>10</v>
      </c>
    </row>
    <row r="25" spans="1:24" x14ac:dyDescent="0.15">
      <c r="A25" s="105"/>
      <c r="B25" s="107"/>
      <c r="C25" s="105"/>
      <c r="D25" s="105"/>
    </row>
    <row r="26" spans="1:24" x14ac:dyDescent="0.15">
      <c r="A26" s="105"/>
      <c r="B26" s="107" t="s">
        <v>62</v>
      </c>
      <c r="C26" s="116" t="s">
        <v>93</v>
      </c>
      <c r="D26" s="108"/>
      <c r="E26" s="87" t="str">
        <f>MID(C26,1,5)</f>
        <v>なし</v>
      </c>
      <c r="F26" s="87" t="str">
        <f>MID(C26,9,3)</f>
        <v/>
      </c>
      <c r="G26" s="91" t="e">
        <f>1-VALUE(LEFT(F26,1))/10</f>
        <v>#VALUE!</v>
      </c>
    </row>
    <row r="27" spans="1:24" x14ac:dyDescent="0.15">
      <c r="A27" s="105"/>
      <c r="B27" s="107" t="s">
        <v>75</v>
      </c>
      <c r="C27" s="109" t="s">
        <v>96</v>
      </c>
      <c r="D27" s="105"/>
      <c r="E27" t="b">
        <f>IF(C27="なし","")</f>
        <v>0</v>
      </c>
    </row>
    <row r="28" spans="1:24" ht="13.5" customHeight="1" x14ac:dyDescent="0.15">
      <c r="A28" s="105"/>
      <c r="B28" s="107" t="s">
        <v>71</v>
      </c>
      <c r="C28" s="121" t="s">
        <v>87</v>
      </c>
      <c r="D28" s="105"/>
    </row>
    <row r="29" spans="1:24" x14ac:dyDescent="0.15">
      <c r="A29" s="105"/>
      <c r="B29" s="105"/>
      <c r="C29" s="121"/>
      <c r="D29" s="105"/>
    </row>
    <row r="30" spans="1:24" x14ac:dyDescent="0.15">
      <c r="A30" s="105"/>
      <c r="B30" s="105"/>
      <c r="C30" s="121"/>
      <c r="D30" s="105"/>
    </row>
    <row r="31" spans="1:24" x14ac:dyDescent="0.15">
      <c r="A31" s="105"/>
      <c r="B31" s="105"/>
      <c r="C31" s="121"/>
      <c r="D31" s="105"/>
    </row>
  </sheetData>
  <sheetProtection algorithmName="SHA-512" hashValue="06/Udl3nQO2BRu12TmIv3zoTAo4jCzjz4nfcV2JI7k95i6xVDeP3BGqAHD0lZbm/iPP4KRy4XaazoflpTZrKjg==" saltValue="rc7IkT/PSUIci1dWWiQxLA==" spinCount="100000" sheet="1" objects="1" scenarios="1"/>
  <mergeCells count="3">
    <mergeCell ref="H4:K4"/>
    <mergeCell ref="L4:Q4"/>
    <mergeCell ref="C28:C31"/>
  </mergeCells>
  <phoneticPr fontId="1"/>
  <dataValidations count="7">
    <dataValidation type="list" allowBlank="1" showInputMessage="1" showErrorMessage="1" sqref="C3" xr:uid="{A0853C9A-AE7E-41F9-B7B4-FE6A9F4A583F}">
      <formula1>$S$3:$S$4</formula1>
    </dataValidation>
    <dataValidation type="list" allowBlank="1" showInputMessage="1" showErrorMessage="1" sqref="C26" xr:uid="{6DD4727C-2AB3-4B31-B0BA-60510E586487}">
      <formula1>$V$3:$V$5</formula1>
    </dataValidation>
    <dataValidation type="list" allowBlank="1" showInputMessage="1" showErrorMessage="1" sqref="C27" xr:uid="{BB25F72D-A253-4B1E-AFF2-D1C7731DE702}">
      <formula1>$V$7:$V$8</formula1>
    </dataValidation>
    <dataValidation type="list" allowBlank="1" showInputMessage="1" showErrorMessage="1" sqref="C28:C31" xr:uid="{034E875C-4801-4113-9086-156AE61E9347}">
      <formula1>$W$3:$W$13</formula1>
    </dataValidation>
    <dataValidation type="list" allowBlank="1" showInputMessage="1" sqref="C15" xr:uid="{3BE68BD8-2A2E-402A-89B3-66A9469496F2}">
      <formula1>$T$3:$T$7</formula1>
    </dataValidation>
    <dataValidation type="list" allowBlank="1" showInputMessage="1" showErrorMessage="1" sqref="C13 C8 C20" xr:uid="{4BEC0104-3A18-4A40-99D3-89CFC344CEA4}">
      <formula1>$U$4:$U$13</formula1>
    </dataValidation>
    <dataValidation type="list" allowBlank="1" showInputMessage="1" showErrorMessage="1" sqref="C5:C7 C10:C12 C17:C19 C22:C24" xr:uid="{653AFCD6-1D10-4846-8901-2E7290A06C8B}">
      <formula1>$U$3:$U$13</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7A8D2-E323-4D4A-AC62-D1F537BD252E}">
  <sheetPr>
    <tabColor theme="8" tint="0.59999389629810485"/>
  </sheetPr>
  <dimension ref="A1:P35"/>
  <sheetViews>
    <sheetView view="pageBreakPreview" zoomScaleNormal="100" zoomScaleSheetLayoutView="100" workbookViewId="0"/>
  </sheetViews>
  <sheetFormatPr defaultColWidth="9" defaultRowHeight="13.5" x14ac:dyDescent="0.15"/>
  <cols>
    <col min="1" max="1" width="4.125" style="42" customWidth="1"/>
    <col min="2" max="2" width="12.75" style="42" customWidth="1"/>
    <col min="3" max="6" width="9" style="42"/>
    <col min="7" max="7" width="4" style="42" customWidth="1"/>
    <col min="8" max="8" width="3.375" style="42" customWidth="1"/>
    <col min="9" max="16384" width="9" style="42"/>
  </cols>
  <sheetData>
    <row r="1" spans="1:12" s="43" customFormat="1" ht="17.25" x14ac:dyDescent="0.15">
      <c r="B1" s="44"/>
      <c r="C1" s="44"/>
      <c r="D1" s="44"/>
      <c r="E1" s="44"/>
      <c r="F1" s="44"/>
      <c r="G1" s="45" t="s">
        <v>18</v>
      </c>
      <c r="H1" s="45"/>
      <c r="I1" s="45" t="str">
        <f>入力!C15</f>
        <v>釧路</v>
      </c>
      <c r="J1" s="89" t="s">
        <v>98</v>
      </c>
      <c r="K1" s="44"/>
      <c r="L1" s="44"/>
    </row>
    <row r="3" spans="1:12" ht="15" customHeight="1" x14ac:dyDescent="0.15">
      <c r="A3" s="42" t="s">
        <v>0</v>
      </c>
    </row>
    <row r="4" spans="1:12" ht="15" customHeight="1" x14ac:dyDescent="0.15">
      <c r="B4" s="42" t="s">
        <v>1</v>
      </c>
    </row>
    <row r="5" spans="1:12" ht="15" customHeight="1" x14ac:dyDescent="0.15">
      <c r="B5" s="46" t="s">
        <v>4</v>
      </c>
      <c r="C5" s="122" t="s">
        <v>9</v>
      </c>
      <c r="D5" s="122"/>
      <c r="E5" s="122"/>
      <c r="F5" s="122"/>
      <c r="G5" s="123"/>
      <c r="H5" s="47"/>
      <c r="I5" s="122" t="s">
        <v>12</v>
      </c>
      <c r="J5" s="122"/>
      <c r="K5" s="122"/>
      <c r="L5" s="122"/>
    </row>
    <row r="6" spans="1:12" ht="15" customHeight="1" x14ac:dyDescent="0.15">
      <c r="B6" s="48" t="s">
        <v>8</v>
      </c>
      <c r="C6" s="49" t="s">
        <v>35</v>
      </c>
      <c r="D6" s="50" t="str">
        <f ca="1">入力!E17</f>
        <v>1.4km</v>
      </c>
      <c r="E6" s="51" t="s">
        <v>68</v>
      </c>
      <c r="F6" s="51">
        <f ca="1">入力!F17</f>
        <v>970</v>
      </c>
      <c r="G6" s="51" t="s">
        <v>10</v>
      </c>
      <c r="H6" s="51"/>
      <c r="I6" s="52">
        <f ca="1">入力!H17</f>
        <v>172</v>
      </c>
      <c r="J6" s="53" t="s">
        <v>11</v>
      </c>
      <c r="K6" s="51">
        <f ca="1">入力!J17</f>
        <v>110</v>
      </c>
      <c r="L6" s="54" t="s">
        <v>10</v>
      </c>
    </row>
    <row r="7" spans="1:12" ht="15" customHeight="1" x14ac:dyDescent="0.15">
      <c r="B7" s="48" t="s">
        <v>5</v>
      </c>
      <c r="C7" s="55" t="s">
        <v>35</v>
      </c>
      <c r="D7" s="56" t="str">
        <f ca="1">入力!E18</f>
        <v>1.4km</v>
      </c>
      <c r="E7" s="57" t="s">
        <v>68</v>
      </c>
      <c r="F7" s="57">
        <f ca="1">入力!F18</f>
        <v>920</v>
      </c>
      <c r="G7" s="57" t="s">
        <v>10</v>
      </c>
      <c r="H7" s="58"/>
      <c r="I7" s="59">
        <f ca="1">入力!H18</f>
        <v>157</v>
      </c>
      <c r="J7" s="60" t="s">
        <v>11</v>
      </c>
      <c r="K7" s="57">
        <f ca="1">入力!J18</f>
        <v>100</v>
      </c>
      <c r="L7" s="58" t="s">
        <v>10</v>
      </c>
    </row>
    <row r="8" spans="1:12" ht="15" customHeight="1" x14ac:dyDescent="0.15">
      <c r="B8" s="48" t="s">
        <v>6</v>
      </c>
      <c r="C8" s="55" t="s">
        <v>35</v>
      </c>
      <c r="D8" s="56" t="str">
        <f ca="1">入力!E19</f>
        <v>1.4km</v>
      </c>
      <c r="E8" s="57" t="s">
        <v>68</v>
      </c>
      <c r="F8" s="57">
        <f ca="1">入力!F19</f>
        <v>800</v>
      </c>
      <c r="G8" s="57" t="s">
        <v>10</v>
      </c>
      <c r="H8" s="58"/>
      <c r="I8" s="59">
        <f ca="1">入力!H19</f>
        <v>259</v>
      </c>
      <c r="J8" s="60" t="s">
        <v>11</v>
      </c>
      <c r="K8" s="57">
        <f ca="1">入力!J19</f>
        <v>100</v>
      </c>
      <c r="L8" s="58" t="s">
        <v>10</v>
      </c>
    </row>
    <row r="9" spans="1:12" ht="15" customHeight="1" x14ac:dyDescent="0.15"/>
    <row r="10" spans="1:12" ht="15" customHeight="1" x14ac:dyDescent="0.15">
      <c r="B10" s="42" t="s">
        <v>2</v>
      </c>
    </row>
    <row r="11" spans="1:12" ht="15" customHeight="1" x14ac:dyDescent="0.15">
      <c r="B11" s="46" t="s">
        <v>4</v>
      </c>
      <c r="C11" s="122" t="s">
        <v>67</v>
      </c>
      <c r="D11" s="122"/>
      <c r="E11" s="122"/>
      <c r="F11" s="122"/>
      <c r="G11" s="122"/>
      <c r="H11" s="122"/>
      <c r="I11" s="122"/>
      <c r="J11" s="122"/>
      <c r="K11" s="122"/>
      <c r="L11" s="122"/>
    </row>
    <row r="12" spans="1:12" ht="15" customHeight="1" x14ac:dyDescent="0.15">
      <c r="B12" s="61" t="s">
        <v>8</v>
      </c>
      <c r="C12" s="62" t="s">
        <v>32</v>
      </c>
      <c r="D12" s="63"/>
      <c r="E12" s="63"/>
      <c r="F12" s="63"/>
      <c r="G12" s="63">
        <f ca="1">入力!L17</f>
        <v>1</v>
      </c>
      <c r="H12" s="63" t="s">
        <v>65</v>
      </c>
      <c r="I12" s="63">
        <f ca="1">入力!N17</f>
        <v>5</v>
      </c>
      <c r="J12" s="64" t="s">
        <v>66</v>
      </c>
      <c r="K12" s="63">
        <f ca="1">入力!P17</f>
        <v>110</v>
      </c>
      <c r="L12" s="65" t="s">
        <v>10</v>
      </c>
    </row>
    <row r="13" spans="1:12" ht="15" customHeight="1" x14ac:dyDescent="0.15">
      <c r="B13" s="48" t="s">
        <v>5</v>
      </c>
      <c r="C13" s="59" t="s">
        <v>32</v>
      </c>
      <c r="D13" s="57"/>
      <c r="E13" s="57"/>
      <c r="F13" s="57"/>
      <c r="G13" s="57">
        <f ca="1">入力!L18</f>
        <v>1</v>
      </c>
      <c r="H13" s="57" t="s">
        <v>65</v>
      </c>
      <c r="I13" s="57">
        <f ca="1">入力!N18</f>
        <v>0</v>
      </c>
      <c r="J13" s="60" t="s">
        <v>66</v>
      </c>
      <c r="K13" s="63">
        <f ca="1">入力!P18</f>
        <v>100</v>
      </c>
      <c r="L13" s="58" t="s">
        <v>10</v>
      </c>
    </row>
    <row r="14" spans="1:12" ht="15" customHeight="1" x14ac:dyDescent="0.15">
      <c r="B14" s="48" t="s">
        <v>6</v>
      </c>
      <c r="C14" s="66" t="s">
        <v>32</v>
      </c>
      <c r="D14" s="67"/>
      <c r="E14" s="67"/>
      <c r="F14" s="67"/>
      <c r="G14" s="67">
        <f ca="1">入力!L19</f>
        <v>1</v>
      </c>
      <c r="H14" s="67" t="s">
        <v>65</v>
      </c>
      <c r="I14" s="67">
        <f ca="1">入力!N19</f>
        <v>35</v>
      </c>
      <c r="J14" s="60" t="s">
        <v>66</v>
      </c>
      <c r="K14" s="57">
        <f ca="1">入力!P19</f>
        <v>100</v>
      </c>
      <c r="L14" s="68" t="s">
        <v>10</v>
      </c>
    </row>
    <row r="15" spans="1:12" ht="15" customHeight="1" x14ac:dyDescent="0.15"/>
    <row r="16" spans="1:12" ht="15" customHeight="1" x14ac:dyDescent="0.15">
      <c r="B16" s="42" t="s">
        <v>13</v>
      </c>
    </row>
    <row r="17" spans="1:16" ht="15" customHeight="1" x14ac:dyDescent="0.15">
      <c r="B17" s="46" t="s">
        <v>4</v>
      </c>
      <c r="C17" s="122" t="s">
        <v>9</v>
      </c>
      <c r="D17" s="122"/>
      <c r="E17" s="122"/>
      <c r="F17" s="122"/>
      <c r="G17" s="123"/>
      <c r="H17" s="47"/>
      <c r="I17" s="122" t="s">
        <v>12</v>
      </c>
      <c r="J17" s="122"/>
      <c r="K17" s="122"/>
      <c r="L17" s="122"/>
    </row>
    <row r="18" spans="1:16" ht="15" customHeight="1" x14ac:dyDescent="0.15">
      <c r="B18" s="48" t="s">
        <v>8</v>
      </c>
      <c r="C18" s="51" t="s">
        <v>33</v>
      </c>
      <c r="D18" s="51"/>
      <c r="E18" s="51"/>
      <c r="F18" s="98">
        <f ca="1">入力!F22</f>
        <v>5700</v>
      </c>
      <c r="G18" s="51" t="s">
        <v>10</v>
      </c>
      <c r="H18" s="51"/>
      <c r="I18" s="52" t="s">
        <v>34</v>
      </c>
      <c r="J18" s="51"/>
      <c r="K18" s="99">
        <f ca="1">F18</f>
        <v>5700</v>
      </c>
      <c r="L18" s="54" t="s">
        <v>10</v>
      </c>
    </row>
    <row r="19" spans="1:16" ht="15" customHeight="1" x14ac:dyDescent="0.15">
      <c r="B19" s="48" t="s">
        <v>5</v>
      </c>
      <c r="C19" s="62" t="s">
        <v>33</v>
      </c>
      <c r="D19" s="63"/>
      <c r="E19" s="63"/>
      <c r="F19" s="98">
        <f ca="1">入力!F23</f>
        <v>5650</v>
      </c>
      <c r="G19" s="63" t="s">
        <v>10</v>
      </c>
      <c r="H19" s="63"/>
      <c r="I19" s="59" t="s">
        <v>34</v>
      </c>
      <c r="J19" s="57"/>
      <c r="K19" s="98">
        <f ca="1">F19</f>
        <v>5650</v>
      </c>
      <c r="L19" s="58" t="s">
        <v>10</v>
      </c>
    </row>
    <row r="20" spans="1:16" ht="15" customHeight="1" x14ac:dyDescent="0.15">
      <c r="B20" s="48" t="s">
        <v>6</v>
      </c>
      <c r="C20" s="59" t="s">
        <v>33</v>
      </c>
      <c r="D20" s="57"/>
      <c r="E20" s="57"/>
      <c r="F20" s="98">
        <f ca="1">入力!F24</f>
        <v>4020</v>
      </c>
      <c r="G20" s="57" t="s">
        <v>10</v>
      </c>
      <c r="H20" s="58"/>
      <c r="I20" s="59" t="s">
        <v>34</v>
      </c>
      <c r="J20" s="67"/>
      <c r="K20" s="100">
        <f ca="1">F20</f>
        <v>4020</v>
      </c>
      <c r="L20" s="68" t="s">
        <v>10</v>
      </c>
    </row>
    <row r="21" spans="1:16" ht="15" customHeight="1" x14ac:dyDescent="0.15">
      <c r="C21" s="51"/>
    </row>
    <row r="22" spans="1:16" ht="15" customHeight="1" x14ac:dyDescent="0.15">
      <c r="B22" s="42" t="s">
        <v>14</v>
      </c>
    </row>
    <row r="23" spans="1:16" ht="15" customHeight="1" x14ac:dyDescent="0.15">
      <c r="B23" s="42" t="s">
        <v>73</v>
      </c>
      <c r="D23" s="42" t="s">
        <v>29</v>
      </c>
    </row>
    <row r="24" spans="1:16" ht="15" customHeight="1" x14ac:dyDescent="0.15">
      <c r="B24" s="42" t="s">
        <v>36</v>
      </c>
      <c r="D24" s="42" t="s">
        <v>29</v>
      </c>
    </row>
    <row r="25" spans="1:16" ht="15" customHeight="1" x14ac:dyDescent="0.15">
      <c r="B25" s="42" t="str">
        <f>IF(入力!E27="","","　ウ．冬期割増")</f>
        <v>　ウ．冬期割増</v>
      </c>
      <c r="D25" s="42" t="str">
        <f>IF(入力!E27="","","２割増　")</f>
        <v>２割増　</v>
      </c>
    </row>
    <row r="26" spans="1:16" ht="15" customHeight="1" x14ac:dyDescent="0.15"/>
    <row r="27" spans="1:16" ht="15" customHeight="1" x14ac:dyDescent="0.15">
      <c r="B27" s="42" t="s">
        <v>15</v>
      </c>
    </row>
    <row r="28" spans="1:16" ht="15" customHeight="1" x14ac:dyDescent="0.15">
      <c r="B28" s="42" t="s">
        <v>37</v>
      </c>
      <c r="I28" s="42" t="s">
        <v>30</v>
      </c>
    </row>
    <row r="29" spans="1:16" ht="15" customHeight="1" x14ac:dyDescent="0.15">
      <c r="B29" s="42" t="str">
        <f>IF(【印刷用】適用方法!B20="","","　イ．遠距離割引　距離制運賃で"&amp;DBCS(TEXT(入力!E26,"#,000円"))&amp;"を超える金額について ")</f>
        <v/>
      </c>
      <c r="D29" s="69"/>
      <c r="E29" s="90"/>
      <c r="I29" s="42" t="str">
        <f>IF(【印刷用】適用方法!B20="","",DBCS(入力!F26))</f>
        <v/>
      </c>
      <c r="N29" s="70"/>
      <c r="O29" s="71"/>
      <c r="P29" s="71"/>
    </row>
    <row r="30" spans="1:16" ht="15" customHeight="1" x14ac:dyDescent="0.15">
      <c r="N30" s="70"/>
      <c r="O30" s="71"/>
    </row>
    <row r="31" spans="1:16" ht="15" customHeight="1" x14ac:dyDescent="0.15">
      <c r="A31" s="42" t="s">
        <v>16</v>
      </c>
    </row>
    <row r="32" spans="1:16" ht="15" customHeight="1" x14ac:dyDescent="0.15">
      <c r="B32" s="42" t="s">
        <v>17</v>
      </c>
    </row>
    <row r="33" spans="2:10" ht="15" customHeight="1" x14ac:dyDescent="0.15">
      <c r="B33" s="72" t="s">
        <v>8</v>
      </c>
      <c r="C33" s="42">
        <f ca="1">G12</f>
        <v>1</v>
      </c>
      <c r="D33" s="42" t="s">
        <v>31</v>
      </c>
      <c r="E33" s="42">
        <f ca="1">I12</f>
        <v>5</v>
      </c>
      <c r="F33" s="64" t="s">
        <v>66</v>
      </c>
      <c r="I33" s="42">
        <f ca="1">K12</f>
        <v>110</v>
      </c>
      <c r="J33" s="42" t="s">
        <v>10</v>
      </c>
    </row>
    <row r="34" spans="2:10" ht="15" customHeight="1" x14ac:dyDescent="0.15">
      <c r="B34" s="72" t="s">
        <v>5</v>
      </c>
      <c r="C34" s="42">
        <f ca="1">G13</f>
        <v>1</v>
      </c>
      <c r="D34" s="42" t="s">
        <v>31</v>
      </c>
      <c r="E34" s="42">
        <f ca="1">I13</f>
        <v>0</v>
      </c>
      <c r="F34" s="64" t="s">
        <v>66</v>
      </c>
      <c r="I34" s="42">
        <f ca="1">K13</f>
        <v>100</v>
      </c>
      <c r="J34" s="42" t="s">
        <v>10</v>
      </c>
    </row>
    <row r="35" spans="2:10" ht="15" customHeight="1" x14ac:dyDescent="0.15">
      <c r="B35" s="72" t="s">
        <v>6</v>
      </c>
      <c r="C35" s="42">
        <f ca="1">G14</f>
        <v>1</v>
      </c>
      <c r="D35" s="42" t="s">
        <v>31</v>
      </c>
      <c r="E35" s="42">
        <f ca="1">I14</f>
        <v>35</v>
      </c>
      <c r="F35" s="64" t="s">
        <v>66</v>
      </c>
      <c r="I35" s="42">
        <f ca="1">K14</f>
        <v>100</v>
      </c>
      <c r="J35" s="42" t="s">
        <v>10</v>
      </c>
    </row>
  </sheetData>
  <mergeCells count="5">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view="pageBreakPreview" zoomScaleNormal="115" zoomScaleSheetLayoutView="100" workbookViewId="0">
      <selection sqref="A1:C1"/>
    </sheetView>
  </sheetViews>
  <sheetFormatPr defaultColWidth="9" defaultRowHeight="12" x14ac:dyDescent="0.15"/>
  <cols>
    <col min="1" max="1" width="4" style="93" customWidth="1"/>
    <col min="2" max="2" width="17.25" style="93" customWidth="1"/>
    <col min="3" max="3" width="67.25" style="93" customWidth="1"/>
    <col min="4" max="4" width="9" style="93"/>
    <col min="5" max="5" width="11.125" style="93" customWidth="1"/>
    <col min="6" max="8" width="9" style="93"/>
    <col min="9" max="9" width="79.625" style="93" customWidth="1"/>
    <col min="10" max="16384" width="9" style="93"/>
  </cols>
  <sheetData>
    <row r="1" spans="1:3" ht="17.25" x14ac:dyDescent="0.15">
      <c r="A1" s="126" t="s">
        <v>19</v>
      </c>
      <c r="B1" s="126"/>
      <c r="C1" s="126"/>
    </row>
    <row r="3" spans="1:3" ht="20.100000000000001" customHeight="1" x14ac:dyDescent="0.15">
      <c r="A3" s="93" t="s">
        <v>20</v>
      </c>
    </row>
    <row r="4" spans="1:3" ht="27" customHeight="1" x14ac:dyDescent="0.15">
      <c r="B4" s="94" t="s">
        <v>3</v>
      </c>
      <c r="C4" s="94" t="s">
        <v>22</v>
      </c>
    </row>
    <row r="5" spans="1:3" ht="33" customHeight="1" x14ac:dyDescent="0.15">
      <c r="B5" s="94" t="s">
        <v>7</v>
      </c>
      <c r="C5" s="95" t="s">
        <v>26</v>
      </c>
    </row>
    <row r="6" spans="1:3" ht="48.75" customHeight="1" x14ac:dyDescent="0.15">
      <c r="B6" s="94" t="s">
        <v>77</v>
      </c>
      <c r="C6" s="95" t="s">
        <v>27</v>
      </c>
    </row>
    <row r="7" spans="1:3" ht="62.25" customHeight="1" x14ac:dyDescent="0.15">
      <c r="B7" s="94" t="s">
        <v>21</v>
      </c>
      <c r="C7" s="95" t="s">
        <v>82</v>
      </c>
    </row>
    <row r="8" spans="1:3" ht="81.75" customHeight="1" x14ac:dyDescent="0.15">
      <c r="B8" s="94" t="s">
        <v>78</v>
      </c>
      <c r="C8" s="95" t="s">
        <v>92</v>
      </c>
    </row>
    <row r="9" spans="1:3" x14ac:dyDescent="0.15">
      <c r="B9" s="128"/>
      <c r="C9" s="128"/>
    </row>
    <row r="10" spans="1:3" ht="20.100000000000001" customHeight="1" x14ac:dyDescent="0.15">
      <c r="A10" s="93" t="s">
        <v>23</v>
      </c>
    </row>
    <row r="11" spans="1:3" ht="45" customHeight="1" x14ac:dyDescent="0.15">
      <c r="B11" s="127" t="s">
        <v>28</v>
      </c>
      <c r="C11" s="127"/>
    </row>
    <row r="13" spans="1:3" ht="20.100000000000001" customHeight="1" x14ac:dyDescent="0.15">
      <c r="A13" s="93" t="s">
        <v>24</v>
      </c>
    </row>
    <row r="14" spans="1:3" ht="136.5" customHeight="1" x14ac:dyDescent="0.15">
      <c r="B14" s="127" t="s">
        <v>79</v>
      </c>
      <c r="C14" s="127"/>
    </row>
    <row r="15" spans="1:3" ht="138" customHeight="1" x14ac:dyDescent="0.15">
      <c r="B15" s="127" t="s">
        <v>81</v>
      </c>
      <c r="C15" s="127"/>
    </row>
    <row r="16" spans="1:3" ht="78" customHeight="1" x14ac:dyDescent="0.15">
      <c r="B16" s="127" t="s">
        <v>90</v>
      </c>
      <c r="C16" s="127"/>
    </row>
    <row r="17" spans="2:9" ht="39" customHeight="1" x14ac:dyDescent="0.15">
      <c r="B17" s="129" t="str">
        <f>IF(入力!E27="","","　　オ．冬期割増は、距離制運賃を適用する場合で、次に定める期間及び地域の営業所に配置されて
　　　いる車両に限り適用するものとする。
　　　(a)　１２月１０日から翌年３月２６日まで冬期割増を適用する地域は、")</f>
        <v>　　オ．冬期割増は、距離制運賃を適用する場合で、次に定める期間及び地域の営業所に配置されて
　　　いる車両に限り適用するものとする。
　　　(a)　１２月１０日から翌年３月２６日まで冬期割増を適用する地域は、</v>
      </c>
      <c r="C17" s="129"/>
    </row>
    <row r="18" spans="2:9" ht="26.25" customHeight="1" x14ac:dyDescent="0.15">
      <c r="B18" s="129" t="str">
        <f>IF(入力!E27="","","　　　釧路運輸支局管内の全市町村とする。")</f>
        <v>　　　釧路運輸支局管内の全市町村とする。</v>
      </c>
      <c r="C18" s="129"/>
    </row>
    <row r="19" spans="2:9" s="96" customFormat="1" ht="142.5" customHeight="1" x14ac:dyDescent="0.15">
      <c r="B19" s="127" t="s">
        <v>91</v>
      </c>
      <c r="C19" s="127"/>
    </row>
    <row r="20" spans="2:9" ht="80.25" customHeight="1" x14ac:dyDescent="0.15">
      <c r="B20" s="129" t="str">
        <f>IFERROR("　　ウ．遠距離割引は、次による。
　　　(a)　遠距離割引は、距離制運賃及び待料金に適用し、この場合の運賃料金の額は、タクシーメ
　　　　 ーター器表示額のうち、"&amp;DBCS(TEXT(入力!E26,"#,000円"))&amp;"を超える額に"&amp;DBCS(入力!G26)&amp;"を乗じ、１０円未満の端数を切り
　　　　捨てた額と"&amp;DBCS(TEXT(入力!E26,"#,000円"))&amp;"との合計額とする。
　　エ．障害者割引と遠距離割引とは重複して適用するものとし、この場合の運賃料金の額は、各制
　　　度で求められる割引額の合計額をタクシーメーター器表示額から減じた額とする。","")</f>
        <v/>
      </c>
      <c r="C20" s="129"/>
      <c r="H20" s="124"/>
      <c r="I20" s="124"/>
    </row>
    <row r="21" spans="2:9" ht="72" customHeight="1" x14ac:dyDescent="0.15">
      <c r="B21" s="127" t="s">
        <v>74</v>
      </c>
      <c r="C21" s="127"/>
      <c r="H21" s="124"/>
      <c r="I21" s="124"/>
    </row>
    <row r="22" spans="2:9" ht="129" customHeight="1" x14ac:dyDescent="0.15">
      <c r="B22" s="127" t="s">
        <v>80</v>
      </c>
      <c r="C22" s="127"/>
    </row>
    <row r="23" spans="2:9" ht="20.100000000000001" customHeight="1" x14ac:dyDescent="0.15">
      <c r="B23" s="93" t="s">
        <v>25</v>
      </c>
    </row>
    <row r="24" spans="2:9" ht="51" customHeight="1" x14ac:dyDescent="0.15">
      <c r="B24" s="125" t="str">
        <f>入力!C28</f>
        <v>釧路交通圏（釧路市（ただし、平成１７年１０月１１日に新設された釧路市における旧釧路市の区域に限る。）、釧路町）</v>
      </c>
      <c r="C24" s="125"/>
    </row>
  </sheetData>
  <mergeCells count="14">
    <mergeCell ref="H20:I21"/>
    <mergeCell ref="B24:C24"/>
    <mergeCell ref="A1:C1"/>
    <mergeCell ref="B14:C14"/>
    <mergeCell ref="B15:C15"/>
    <mergeCell ref="B16:C16"/>
    <mergeCell ref="B19:C19"/>
    <mergeCell ref="B21:C21"/>
    <mergeCell ref="B22:C22"/>
    <mergeCell ref="B9:C9"/>
    <mergeCell ref="B11:C11"/>
    <mergeCell ref="B20:C20"/>
    <mergeCell ref="B18:C18"/>
    <mergeCell ref="B17:C17"/>
  </mergeCells>
  <phoneticPr fontId="1"/>
  <pageMargins left="0.70866141732283472" right="0.70866141732283472" top="0.74803149606299213" bottom="0.74803149606299213" header="0.31496062992125984" footer="0.31496062992125984"/>
  <pageSetup paperSize="9" orientation="portrait" r:id="rId1"/>
  <rowBreaks count="1" manualBreakCount="1">
    <brk id="15" max="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2AD4B-7E57-4AAF-9D12-2E4C58D767F3}">
  <sheetPr>
    <tabColor theme="8" tint="0.59999389629810485"/>
    <pageSetUpPr fitToPage="1"/>
  </sheetPr>
  <dimension ref="A1:AC37"/>
  <sheetViews>
    <sheetView zoomScaleNormal="100" workbookViewId="0"/>
  </sheetViews>
  <sheetFormatPr defaultColWidth="9" defaultRowHeight="13.5" x14ac:dyDescent="0.15"/>
  <cols>
    <col min="1" max="1" width="9" style="5" customWidth="1"/>
    <col min="2" max="2" width="5.625" style="5" bestFit="1" customWidth="1"/>
    <col min="3" max="3" width="5.125" style="5" bestFit="1" customWidth="1"/>
    <col min="4" max="4" width="2.875" style="5" bestFit="1" customWidth="1"/>
    <col min="5" max="5" width="5.125" style="5" bestFit="1" customWidth="1"/>
    <col min="6" max="6" width="2.75" style="5" bestFit="1" customWidth="1"/>
    <col min="7" max="7" width="5.125" style="5" bestFit="1" customWidth="1"/>
    <col min="8" max="8" width="2.75" style="5" customWidth="1"/>
    <col min="9" max="9" width="4" style="5" customWidth="1"/>
    <col min="10" max="10" width="3.125" style="5" bestFit="1" customWidth="1"/>
    <col min="11" max="11" width="4" style="5" bestFit="1" customWidth="1"/>
    <col min="12" max="12" width="3.125" style="5" bestFit="1" customWidth="1"/>
    <col min="13" max="13" width="5.125" style="5" bestFit="1" customWidth="1"/>
    <col min="14" max="14" width="2.875" style="5" customWidth="1"/>
    <col min="15" max="15" width="1.125" style="5" customWidth="1"/>
    <col min="16" max="16" width="9" style="5" bestFit="1" customWidth="1"/>
    <col min="17" max="17" width="5" style="5" customWidth="1"/>
    <col min="18" max="18" width="6.75" style="12" bestFit="1" customWidth="1"/>
    <col min="19" max="19" width="2.875" style="5" bestFit="1" customWidth="1"/>
    <col min="20" max="20" width="5" style="5" customWidth="1"/>
    <col min="21" max="21" width="6.75" style="5" bestFit="1" customWidth="1"/>
    <col min="22" max="22" width="2.875" style="5" bestFit="1" customWidth="1"/>
    <col min="23" max="24" width="9" style="5"/>
    <col min="25" max="25" width="8.875" style="5" bestFit="1" customWidth="1"/>
    <col min="26" max="26" width="5.25" style="5" bestFit="1" customWidth="1"/>
    <col min="27" max="27" width="4.5" style="5" bestFit="1" customWidth="1"/>
    <col min="28" max="28" width="7.125" style="5" bestFit="1" customWidth="1"/>
    <col min="29" max="16384" width="9" style="5"/>
  </cols>
  <sheetData>
    <row r="1" spans="1:29" ht="22.5" customHeight="1" x14ac:dyDescent="0.15">
      <c r="A1" s="3"/>
      <c r="B1" s="4"/>
      <c r="C1" s="4"/>
      <c r="D1" s="4"/>
      <c r="E1" s="4"/>
      <c r="F1" s="4"/>
      <c r="G1" s="4"/>
      <c r="H1" s="4"/>
      <c r="I1" s="4"/>
      <c r="J1" s="4"/>
      <c r="K1" s="4"/>
      <c r="L1" s="4"/>
      <c r="M1" s="4"/>
      <c r="N1" s="4"/>
      <c r="O1" s="4"/>
      <c r="P1" s="4"/>
      <c r="Q1" s="4"/>
      <c r="R1" s="4"/>
      <c r="T1" s="6"/>
      <c r="V1" s="7"/>
    </row>
    <row r="2" spans="1:29" ht="22.5" customHeight="1" x14ac:dyDescent="0.15">
      <c r="A2" s="4" t="s">
        <v>38</v>
      </c>
      <c r="B2" s="8"/>
      <c r="C2" s="130" t="s">
        <v>99</v>
      </c>
      <c r="D2" s="130"/>
      <c r="E2" s="130"/>
      <c r="F2" s="130"/>
      <c r="G2" s="130"/>
      <c r="H2" s="130"/>
      <c r="I2" s="130"/>
      <c r="J2" s="130"/>
      <c r="K2" s="130"/>
      <c r="L2" s="130"/>
      <c r="M2" s="130"/>
      <c r="N2" s="130"/>
      <c r="O2" s="130"/>
      <c r="P2" s="130"/>
      <c r="Q2" s="130"/>
      <c r="R2" s="130"/>
      <c r="T2" s="9"/>
      <c r="U2" s="9"/>
      <c r="V2" s="9"/>
    </row>
    <row r="3" spans="1:29" ht="22.5" customHeight="1" x14ac:dyDescent="0.15">
      <c r="A3" s="4"/>
      <c r="B3" s="8"/>
      <c r="C3" s="10"/>
      <c r="D3" s="11"/>
      <c r="E3" s="11"/>
      <c r="F3" s="11"/>
      <c r="G3" s="11"/>
      <c r="H3" s="11"/>
      <c r="I3" s="11"/>
      <c r="J3" s="11"/>
      <c r="K3" s="11"/>
      <c r="L3" s="11"/>
      <c r="M3" s="11"/>
      <c r="N3" s="11"/>
      <c r="O3" s="11"/>
      <c r="P3" s="11"/>
      <c r="T3" s="103"/>
      <c r="U3" s="103"/>
      <c r="V3" s="103"/>
    </row>
    <row r="4" spans="1:29" ht="24.75" customHeight="1" x14ac:dyDescent="0.15">
      <c r="A4" s="13" t="s">
        <v>39</v>
      </c>
      <c r="B4" s="8"/>
    </row>
    <row r="5" spans="1:29" ht="24.75" customHeight="1" x14ac:dyDescent="0.15">
      <c r="A5" s="131"/>
      <c r="B5" s="131" t="s">
        <v>40</v>
      </c>
      <c r="C5" s="131"/>
      <c r="D5" s="131"/>
      <c r="E5" s="131"/>
      <c r="F5" s="131"/>
      <c r="G5" s="131"/>
      <c r="H5" s="131"/>
      <c r="I5" s="132" t="s">
        <v>41</v>
      </c>
      <c r="J5" s="133"/>
      <c r="K5" s="133"/>
      <c r="L5" s="133"/>
      <c r="M5" s="133"/>
      <c r="N5" s="134"/>
      <c r="P5" s="131"/>
      <c r="Q5" s="138" t="s">
        <v>42</v>
      </c>
      <c r="R5" s="139"/>
      <c r="S5" s="139"/>
      <c r="T5" s="139"/>
      <c r="U5" s="139"/>
      <c r="V5" s="140"/>
    </row>
    <row r="6" spans="1:29" ht="24.75" customHeight="1" x14ac:dyDescent="0.15">
      <c r="A6" s="131"/>
      <c r="B6" s="131" t="s">
        <v>9</v>
      </c>
      <c r="C6" s="131"/>
      <c r="D6" s="131"/>
      <c r="E6" s="131" t="s">
        <v>12</v>
      </c>
      <c r="F6" s="131"/>
      <c r="G6" s="131"/>
      <c r="H6" s="131"/>
      <c r="I6" s="135"/>
      <c r="J6" s="136"/>
      <c r="K6" s="136"/>
      <c r="L6" s="136"/>
      <c r="M6" s="136"/>
      <c r="N6" s="137"/>
      <c r="P6" s="131"/>
      <c r="Q6" s="138" t="s">
        <v>9</v>
      </c>
      <c r="R6" s="139"/>
      <c r="S6" s="140"/>
      <c r="T6" s="141" t="s">
        <v>12</v>
      </c>
      <c r="U6" s="142"/>
      <c r="V6" s="143"/>
    </row>
    <row r="7" spans="1:29" ht="24.75" customHeight="1" x14ac:dyDescent="0.15">
      <c r="A7" s="14" t="s">
        <v>43</v>
      </c>
      <c r="B7" s="15" t="s">
        <v>70</v>
      </c>
      <c r="C7" s="16">
        <v>970</v>
      </c>
      <c r="D7" s="17" t="s">
        <v>10</v>
      </c>
      <c r="E7" s="18">
        <v>172</v>
      </c>
      <c r="F7" s="19" t="s">
        <v>44</v>
      </c>
      <c r="G7" s="16">
        <v>110</v>
      </c>
      <c r="H7" s="20" t="s">
        <v>10</v>
      </c>
      <c r="I7" s="18">
        <v>1</v>
      </c>
      <c r="J7" s="21" t="s">
        <v>45</v>
      </c>
      <c r="K7" s="16">
        <v>5</v>
      </c>
      <c r="L7" s="22" t="s">
        <v>46</v>
      </c>
      <c r="M7" s="16">
        <v>110</v>
      </c>
      <c r="N7" s="17" t="s">
        <v>10</v>
      </c>
      <c r="O7" s="23"/>
      <c r="P7" s="14" t="str">
        <f>A7</f>
        <v>上限運賃</v>
      </c>
      <c r="Q7" s="24" t="s">
        <v>47</v>
      </c>
      <c r="R7" s="25">
        <v>5700</v>
      </c>
      <c r="S7" s="17" t="s">
        <v>10</v>
      </c>
      <c r="T7" s="24" t="s">
        <v>47</v>
      </c>
      <c r="U7" s="25">
        <f>R7</f>
        <v>5700</v>
      </c>
      <c r="V7" s="17" t="s">
        <v>10</v>
      </c>
    </row>
    <row r="8" spans="1:29" ht="24.75" customHeight="1" x14ac:dyDescent="0.15">
      <c r="A8" s="14" t="s">
        <v>48</v>
      </c>
      <c r="B8" s="15" t="str">
        <f>B$7</f>
        <v>1.4km</v>
      </c>
      <c r="C8" s="16">
        <f t="shared" ref="C8:C14" si="0">C7-10</f>
        <v>960</v>
      </c>
      <c r="D8" s="17" t="s">
        <v>10</v>
      </c>
      <c r="E8" s="18">
        <f t="shared" ref="E8:E11" si="1">X8</f>
        <v>174</v>
      </c>
      <c r="F8" s="19" t="s">
        <v>44</v>
      </c>
      <c r="G8" s="16">
        <f>G$7</f>
        <v>110</v>
      </c>
      <c r="H8" s="20" t="s">
        <v>10</v>
      </c>
      <c r="I8" s="18">
        <v>1</v>
      </c>
      <c r="J8" s="21" t="s">
        <v>45</v>
      </c>
      <c r="K8" s="16">
        <f t="shared" ref="K8:K11" si="2">Z8-60</f>
        <v>5</v>
      </c>
      <c r="L8" s="22" t="s">
        <v>46</v>
      </c>
      <c r="M8" s="16">
        <f>M$7</f>
        <v>110</v>
      </c>
      <c r="N8" s="17" t="s">
        <v>10</v>
      </c>
      <c r="P8" s="14" t="str">
        <f t="shared" ref="P8:P11" si="3">A8</f>
        <v>A運賃</v>
      </c>
      <c r="Q8" s="26" t="s">
        <v>47</v>
      </c>
      <c r="R8" s="25">
        <f t="shared" ref="R8:R11" si="4">AB8</f>
        <v>5640</v>
      </c>
      <c r="S8" s="17" t="s">
        <v>10</v>
      </c>
      <c r="T8" s="26" t="s">
        <v>47</v>
      </c>
      <c r="U8" s="25">
        <f t="shared" ref="U8:U11" si="5">R8</f>
        <v>5640</v>
      </c>
      <c r="V8" s="17" t="s">
        <v>10</v>
      </c>
      <c r="W8" s="27">
        <f t="shared" ref="W8:W11" si="6">R7-R8</f>
        <v>60</v>
      </c>
      <c r="X8" s="5">
        <f t="shared" ref="X8:X11" si="7">ROUND(Y8,0)</f>
        <v>174</v>
      </c>
      <c r="Y8" s="28">
        <f t="shared" ref="Y8:Y11" si="8">E$7/C8*C$7</f>
        <v>173.79166666666666</v>
      </c>
      <c r="Z8" s="5">
        <f t="shared" ref="Z8:Z11" si="9">IF(MROUND(AA8,5)&lt;AA8,MROUND(AA8,5)+5,MROUND(AA8,5))</f>
        <v>65</v>
      </c>
      <c r="AA8" s="5">
        <f t="shared" ref="AA8:AA11" si="10">ROUNDDOWN(E8/10000*3600,0)</f>
        <v>62</v>
      </c>
      <c r="AB8" s="5">
        <f t="shared" ref="AB8:AB11" si="11">ROUND(AC8,-1)</f>
        <v>5640</v>
      </c>
      <c r="AC8" s="5">
        <f t="shared" ref="AC8:AC11" si="12">R$7*C8/C$7</f>
        <v>5641.2371134020623</v>
      </c>
    </row>
    <row r="9" spans="1:29" ht="24.75" customHeight="1" x14ac:dyDescent="0.15">
      <c r="A9" s="14" t="s">
        <v>49</v>
      </c>
      <c r="B9" s="15" t="str">
        <f t="shared" ref="B9:B14" si="13">B$7</f>
        <v>1.4km</v>
      </c>
      <c r="C9" s="16">
        <f t="shared" si="0"/>
        <v>950</v>
      </c>
      <c r="D9" s="17" t="s">
        <v>10</v>
      </c>
      <c r="E9" s="18">
        <f t="shared" si="1"/>
        <v>176</v>
      </c>
      <c r="F9" s="19" t="s">
        <v>44</v>
      </c>
      <c r="G9" s="16">
        <f t="shared" ref="G9:G14" si="14">G$7</f>
        <v>110</v>
      </c>
      <c r="H9" s="20" t="s">
        <v>10</v>
      </c>
      <c r="I9" s="18">
        <v>1</v>
      </c>
      <c r="J9" s="21" t="s">
        <v>45</v>
      </c>
      <c r="K9" s="16">
        <f t="shared" si="2"/>
        <v>5</v>
      </c>
      <c r="L9" s="22" t="s">
        <v>46</v>
      </c>
      <c r="M9" s="16">
        <f t="shared" ref="M9:M14" si="15">M$7</f>
        <v>110</v>
      </c>
      <c r="N9" s="17" t="s">
        <v>10</v>
      </c>
      <c r="P9" s="14" t="str">
        <f t="shared" si="3"/>
        <v>B運賃</v>
      </c>
      <c r="Q9" s="26" t="s">
        <v>47</v>
      </c>
      <c r="R9" s="25">
        <f t="shared" si="4"/>
        <v>5580</v>
      </c>
      <c r="S9" s="17" t="s">
        <v>10</v>
      </c>
      <c r="T9" s="26" t="s">
        <v>47</v>
      </c>
      <c r="U9" s="25">
        <f t="shared" si="5"/>
        <v>5580</v>
      </c>
      <c r="V9" s="17" t="s">
        <v>10</v>
      </c>
      <c r="W9" s="27">
        <f t="shared" si="6"/>
        <v>60</v>
      </c>
      <c r="X9" s="5">
        <f t="shared" si="7"/>
        <v>176</v>
      </c>
      <c r="Y9" s="28">
        <f t="shared" si="8"/>
        <v>175.62105263157895</v>
      </c>
      <c r="Z9" s="5">
        <f t="shared" si="9"/>
        <v>65</v>
      </c>
      <c r="AA9" s="5">
        <f t="shared" si="10"/>
        <v>63</v>
      </c>
      <c r="AB9" s="5">
        <f t="shared" si="11"/>
        <v>5580</v>
      </c>
      <c r="AC9" s="5">
        <f t="shared" si="12"/>
        <v>5582.4742268041236</v>
      </c>
    </row>
    <row r="10" spans="1:29" ht="24.75" customHeight="1" x14ac:dyDescent="0.15">
      <c r="A10" s="14" t="s">
        <v>50</v>
      </c>
      <c r="B10" s="15" t="str">
        <f t="shared" si="13"/>
        <v>1.4km</v>
      </c>
      <c r="C10" s="16">
        <f t="shared" si="0"/>
        <v>940</v>
      </c>
      <c r="D10" s="17" t="s">
        <v>10</v>
      </c>
      <c r="E10" s="18">
        <f t="shared" si="1"/>
        <v>177</v>
      </c>
      <c r="F10" s="19" t="s">
        <v>44</v>
      </c>
      <c r="G10" s="16">
        <f t="shared" si="14"/>
        <v>110</v>
      </c>
      <c r="H10" s="20" t="s">
        <v>10</v>
      </c>
      <c r="I10" s="18">
        <v>1</v>
      </c>
      <c r="J10" s="21" t="s">
        <v>45</v>
      </c>
      <c r="K10" s="16">
        <f t="shared" si="2"/>
        <v>5</v>
      </c>
      <c r="L10" s="22" t="s">
        <v>46</v>
      </c>
      <c r="M10" s="16">
        <f t="shared" si="15"/>
        <v>110</v>
      </c>
      <c r="N10" s="17" t="s">
        <v>10</v>
      </c>
      <c r="P10" s="14" t="str">
        <f t="shared" si="3"/>
        <v>C運賃</v>
      </c>
      <c r="Q10" s="26" t="s">
        <v>47</v>
      </c>
      <c r="R10" s="25">
        <f t="shared" si="4"/>
        <v>5520</v>
      </c>
      <c r="S10" s="17" t="s">
        <v>10</v>
      </c>
      <c r="T10" s="26" t="s">
        <v>47</v>
      </c>
      <c r="U10" s="25">
        <f t="shared" si="5"/>
        <v>5520</v>
      </c>
      <c r="V10" s="17" t="s">
        <v>10</v>
      </c>
      <c r="W10" s="27">
        <f t="shared" si="6"/>
        <v>60</v>
      </c>
      <c r="X10" s="5">
        <f t="shared" si="7"/>
        <v>177</v>
      </c>
      <c r="Y10" s="28">
        <f t="shared" si="8"/>
        <v>177.48936170212764</v>
      </c>
      <c r="Z10" s="5">
        <f t="shared" si="9"/>
        <v>65</v>
      </c>
      <c r="AA10" s="5">
        <f t="shared" si="10"/>
        <v>63</v>
      </c>
      <c r="AB10" s="5">
        <f t="shared" si="11"/>
        <v>5520</v>
      </c>
      <c r="AC10" s="5">
        <f t="shared" si="12"/>
        <v>5523.7113402061859</v>
      </c>
    </row>
    <row r="11" spans="1:29" ht="24.75" customHeight="1" x14ac:dyDescent="0.15">
      <c r="A11" s="14" t="s">
        <v>94</v>
      </c>
      <c r="B11" s="15" t="str">
        <f t="shared" si="13"/>
        <v>1.4km</v>
      </c>
      <c r="C11" s="16">
        <f t="shared" si="0"/>
        <v>930</v>
      </c>
      <c r="D11" s="17" t="s">
        <v>10</v>
      </c>
      <c r="E11" s="18">
        <f t="shared" si="1"/>
        <v>179</v>
      </c>
      <c r="F11" s="19" t="s">
        <v>44</v>
      </c>
      <c r="G11" s="16">
        <f t="shared" si="14"/>
        <v>110</v>
      </c>
      <c r="H11" s="20" t="s">
        <v>10</v>
      </c>
      <c r="I11" s="18">
        <v>1</v>
      </c>
      <c r="J11" s="21" t="s">
        <v>45</v>
      </c>
      <c r="K11" s="16">
        <f t="shared" si="2"/>
        <v>5</v>
      </c>
      <c r="L11" s="22" t="s">
        <v>46</v>
      </c>
      <c r="M11" s="16">
        <f t="shared" si="15"/>
        <v>110</v>
      </c>
      <c r="N11" s="17" t="s">
        <v>10</v>
      </c>
      <c r="P11" s="14" t="str">
        <f t="shared" si="3"/>
        <v>D運賃</v>
      </c>
      <c r="Q11" s="26" t="s">
        <v>47</v>
      </c>
      <c r="R11" s="25">
        <f t="shared" si="4"/>
        <v>5460</v>
      </c>
      <c r="S11" s="17" t="s">
        <v>10</v>
      </c>
      <c r="T11" s="26" t="s">
        <v>47</v>
      </c>
      <c r="U11" s="25">
        <f t="shared" si="5"/>
        <v>5460</v>
      </c>
      <c r="V11" s="17" t="s">
        <v>10</v>
      </c>
      <c r="W11" s="27">
        <f t="shared" si="6"/>
        <v>60</v>
      </c>
      <c r="X11" s="5">
        <f t="shared" si="7"/>
        <v>179</v>
      </c>
      <c r="Y11" s="28">
        <f t="shared" si="8"/>
        <v>179.39784946236557</v>
      </c>
      <c r="Z11" s="5">
        <f t="shared" si="9"/>
        <v>65</v>
      </c>
      <c r="AA11" s="5">
        <f t="shared" si="10"/>
        <v>64</v>
      </c>
      <c r="AB11" s="5">
        <f t="shared" si="11"/>
        <v>5460</v>
      </c>
      <c r="AC11" s="5">
        <f t="shared" si="12"/>
        <v>5464.9484536082473</v>
      </c>
    </row>
    <row r="12" spans="1:29" ht="24.75" customHeight="1" x14ac:dyDescent="0.15">
      <c r="A12" s="14" t="s">
        <v>51</v>
      </c>
      <c r="B12" s="15" t="str">
        <f t="shared" si="13"/>
        <v>1.4km</v>
      </c>
      <c r="C12" s="16">
        <f t="shared" si="0"/>
        <v>920</v>
      </c>
      <c r="D12" s="17" t="s">
        <v>10</v>
      </c>
      <c r="E12" s="18">
        <f t="shared" ref="E12:E14" si="16">X12</f>
        <v>181</v>
      </c>
      <c r="F12" s="19" t="s">
        <v>44</v>
      </c>
      <c r="G12" s="16">
        <f t="shared" si="14"/>
        <v>110</v>
      </c>
      <c r="H12" s="20" t="s">
        <v>10</v>
      </c>
      <c r="I12" s="18">
        <v>1</v>
      </c>
      <c r="J12" s="21" t="s">
        <v>45</v>
      </c>
      <c r="K12" s="16">
        <f t="shared" ref="K12:K14" si="17">Z12-60</f>
        <v>5</v>
      </c>
      <c r="L12" s="22" t="s">
        <v>46</v>
      </c>
      <c r="M12" s="16">
        <f t="shared" si="15"/>
        <v>110</v>
      </c>
      <c r="N12" s="17" t="s">
        <v>10</v>
      </c>
      <c r="P12" s="14" t="str">
        <f t="shared" ref="P12:P14" si="18">A12</f>
        <v>E運賃</v>
      </c>
      <c r="Q12" s="26" t="s">
        <v>47</v>
      </c>
      <c r="R12" s="25">
        <f t="shared" ref="R12:R14" si="19">AB12</f>
        <v>5410</v>
      </c>
      <c r="S12" s="17" t="s">
        <v>10</v>
      </c>
      <c r="T12" s="26" t="s">
        <v>47</v>
      </c>
      <c r="U12" s="25">
        <f t="shared" ref="U12:U14" si="20">R12</f>
        <v>5410</v>
      </c>
      <c r="V12" s="17" t="s">
        <v>10</v>
      </c>
      <c r="W12" s="27">
        <f t="shared" ref="W12:W14" si="21">R11-R12</f>
        <v>50</v>
      </c>
      <c r="X12" s="5">
        <f t="shared" ref="X12:X14" si="22">ROUND(Y12,0)</f>
        <v>181</v>
      </c>
      <c r="Y12" s="28">
        <f t="shared" ref="Y12:Y14" si="23">E$7/C12*C$7</f>
        <v>181.34782608695653</v>
      </c>
      <c r="Z12" s="5">
        <f t="shared" ref="Z12:Z14" si="24">IF(MROUND(AA12,5)&lt;AA12,MROUND(AA12,5)+5,MROUND(AA12,5))</f>
        <v>65</v>
      </c>
      <c r="AA12" s="5">
        <f t="shared" ref="AA12:AA14" si="25">ROUNDDOWN(E12/10000*3600,0)</f>
        <v>65</v>
      </c>
      <c r="AB12" s="5">
        <f t="shared" ref="AB12:AB14" si="26">ROUND(AC12,-1)</f>
        <v>5410</v>
      </c>
      <c r="AC12" s="5">
        <f t="shared" ref="AC12:AC14" si="27">R$7*C12/C$7</f>
        <v>5406.1855670103096</v>
      </c>
    </row>
    <row r="13" spans="1:29" ht="24.75" customHeight="1" x14ac:dyDescent="0.15">
      <c r="A13" s="14" t="s">
        <v>52</v>
      </c>
      <c r="B13" s="15" t="str">
        <f t="shared" si="13"/>
        <v>1.4km</v>
      </c>
      <c r="C13" s="16">
        <f t="shared" si="0"/>
        <v>910</v>
      </c>
      <c r="D13" s="17" t="s">
        <v>10</v>
      </c>
      <c r="E13" s="18">
        <f t="shared" si="16"/>
        <v>183</v>
      </c>
      <c r="F13" s="19" t="s">
        <v>44</v>
      </c>
      <c r="G13" s="16">
        <f t="shared" si="14"/>
        <v>110</v>
      </c>
      <c r="H13" s="20" t="s">
        <v>10</v>
      </c>
      <c r="I13" s="18">
        <v>1</v>
      </c>
      <c r="J13" s="21" t="s">
        <v>45</v>
      </c>
      <c r="K13" s="16">
        <f t="shared" si="17"/>
        <v>5</v>
      </c>
      <c r="L13" s="22" t="s">
        <v>46</v>
      </c>
      <c r="M13" s="16">
        <f t="shared" si="15"/>
        <v>110</v>
      </c>
      <c r="N13" s="17" t="s">
        <v>10</v>
      </c>
      <c r="P13" s="14" t="str">
        <f t="shared" si="18"/>
        <v>F運賃</v>
      </c>
      <c r="Q13" s="26" t="s">
        <v>47</v>
      </c>
      <c r="R13" s="25">
        <f t="shared" si="19"/>
        <v>5350</v>
      </c>
      <c r="S13" s="17" t="s">
        <v>10</v>
      </c>
      <c r="T13" s="26" t="s">
        <v>47</v>
      </c>
      <c r="U13" s="25">
        <f t="shared" si="20"/>
        <v>5350</v>
      </c>
      <c r="V13" s="17" t="s">
        <v>10</v>
      </c>
      <c r="W13" s="27">
        <f t="shared" si="21"/>
        <v>60</v>
      </c>
      <c r="X13" s="5">
        <f t="shared" si="22"/>
        <v>183</v>
      </c>
      <c r="Y13" s="28">
        <f t="shared" si="23"/>
        <v>183.34065934065933</v>
      </c>
      <c r="Z13" s="5">
        <f t="shared" si="24"/>
        <v>65</v>
      </c>
      <c r="AA13" s="5">
        <f t="shared" si="25"/>
        <v>65</v>
      </c>
      <c r="AB13" s="5">
        <f t="shared" si="26"/>
        <v>5350</v>
      </c>
      <c r="AC13" s="5">
        <f t="shared" si="27"/>
        <v>5347.4226804123709</v>
      </c>
    </row>
    <row r="14" spans="1:29" ht="24.75" customHeight="1" x14ac:dyDescent="0.15">
      <c r="A14" s="14" t="s">
        <v>55</v>
      </c>
      <c r="B14" s="15" t="str">
        <f t="shared" si="13"/>
        <v>1.4km</v>
      </c>
      <c r="C14" s="16">
        <f t="shared" si="0"/>
        <v>900</v>
      </c>
      <c r="D14" s="17" t="s">
        <v>10</v>
      </c>
      <c r="E14" s="18">
        <f t="shared" si="16"/>
        <v>185</v>
      </c>
      <c r="F14" s="19" t="s">
        <v>44</v>
      </c>
      <c r="G14" s="16">
        <f t="shared" si="14"/>
        <v>110</v>
      </c>
      <c r="H14" s="20" t="s">
        <v>10</v>
      </c>
      <c r="I14" s="18">
        <v>1</v>
      </c>
      <c r="J14" s="21" t="s">
        <v>45</v>
      </c>
      <c r="K14" s="16">
        <f t="shared" si="17"/>
        <v>10</v>
      </c>
      <c r="L14" s="22" t="s">
        <v>46</v>
      </c>
      <c r="M14" s="16">
        <f t="shared" si="15"/>
        <v>110</v>
      </c>
      <c r="N14" s="17" t="s">
        <v>10</v>
      </c>
      <c r="P14" s="14" t="str">
        <f t="shared" si="18"/>
        <v>下限運賃</v>
      </c>
      <c r="Q14" s="26" t="s">
        <v>47</v>
      </c>
      <c r="R14" s="25">
        <f t="shared" si="19"/>
        <v>5290</v>
      </c>
      <c r="S14" s="17" t="s">
        <v>10</v>
      </c>
      <c r="T14" s="26" t="s">
        <v>47</v>
      </c>
      <c r="U14" s="25">
        <f t="shared" si="20"/>
        <v>5290</v>
      </c>
      <c r="V14" s="17" t="s">
        <v>10</v>
      </c>
      <c r="W14" s="27">
        <f t="shared" si="21"/>
        <v>60</v>
      </c>
      <c r="X14" s="5">
        <f t="shared" si="22"/>
        <v>185</v>
      </c>
      <c r="Y14" s="28">
        <f t="shared" si="23"/>
        <v>185.37777777777779</v>
      </c>
      <c r="Z14" s="5">
        <f t="shared" si="24"/>
        <v>70</v>
      </c>
      <c r="AA14" s="5">
        <f t="shared" si="25"/>
        <v>66</v>
      </c>
      <c r="AB14" s="5">
        <f t="shared" si="26"/>
        <v>5290</v>
      </c>
      <c r="AC14" s="5">
        <f t="shared" si="27"/>
        <v>5288.6597938144332</v>
      </c>
    </row>
    <row r="15" spans="1:29" ht="24.75" customHeight="1" x14ac:dyDescent="0.15">
      <c r="A15" s="29"/>
      <c r="B15" s="76"/>
      <c r="C15" s="30"/>
      <c r="D15" s="31"/>
      <c r="E15" s="30"/>
      <c r="F15" s="32"/>
      <c r="G15" s="30"/>
      <c r="H15" s="33"/>
      <c r="I15" s="30"/>
      <c r="J15" s="34"/>
      <c r="K15" s="30"/>
      <c r="L15" s="35"/>
      <c r="M15" s="30"/>
      <c r="N15" s="31"/>
      <c r="P15" s="29"/>
      <c r="Q15" s="33"/>
      <c r="R15" s="77"/>
      <c r="S15" s="31"/>
      <c r="T15" s="33"/>
      <c r="U15" s="77"/>
      <c r="V15" s="31"/>
      <c r="W15" s="27"/>
      <c r="Y15" s="28"/>
    </row>
    <row r="16" spans="1:29" ht="24.75" customHeight="1" x14ac:dyDescent="0.15">
      <c r="A16" s="13" t="s">
        <v>56</v>
      </c>
      <c r="B16" s="8"/>
      <c r="Y16" s="28"/>
    </row>
    <row r="17" spans="1:29" ht="24.75" customHeight="1" x14ac:dyDescent="0.15">
      <c r="A17" s="131"/>
      <c r="B17" s="131" t="s">
        <v>40</v>
      </c>
      <c r="C17" s="131"/>
      <c r="D17" s="131"/>
      <c r="E17" s="131"/>
      <c r="F17" s="131"/>
      <c r="G17" s="131"/>
      <c r="H17" s="131"/>
      <c r="I17" s="132" t="s">
        <v>41</v>
      </c>
      <c r="J17" s="133"/>
      <c r="K17" s="133"/>
      <c r="L17" s="133"/>
      <c r="M17" s="133"/>
      <c r="N17" s="134"/>
      <c r="P17" s="131"/>
      <c r="Q17" s="138" t="s">
        <v>42</v>
      </c>
      <c r="R17" s="139"/>
      <c r="S17" s="139"/>
      <c r="T17" s="139"/>
      <c r="U17" s="139"/>
      <c r="V17" s="140"/>
      <c r="Y17" s="28"/>
    </row>
    <row r="18" spans="1:29" ht="24.75" customHeight="1" x14ac:dyDescent="0.15">
      <c r="A18" s="131"/>
      <c r="B18" s="131" t="s">
        <v>9</v>
      </c>
      <c r="C18" s="131"/>
      <c r="D18" s="131"/>
      <c r="E18" s="131" t="s">
        <v>12</v>
      </c>
      <c r="F18" s="131"/>
      <c r="G18" s="131"/>
      <c r="H18" s="131"/>
      <c r="I18" s="135"/>
      <c r="J18" s="136"/>
      <c r="K18" s="136"/>
      <c r="L18" s="136"/>
      <c r="M18" s="136"/>
      <c r="N18" s="137"/>
      <c r="P18" s="131"/>
      <c r="Q18" s="138" t="s">
        <v>9</v>
      </c>
      <c r="R18" s="139"/>
      <c r="S18" s="140"/>
      <c r="T18" s="141" t="s">
        <v>12</v>
      </c>
      <c r="U18" s="142"/>
      <c r="V18" s="143"/>
      <c r="Y18" s="28"/>
    </row>
    <row r="19" spans="1:29" ht="24.75" customHeight="1" x14ac:dyDescent="0.15">
      <c r="A19" s="14" t="s">
        <v>43</v>
      </c>
      <c r="B19" s="15" t="str">
        <f>B$7</f>
        <v>1.4km</v>
      </c>
      <c r="C19" s="16">
        <v>920</v>
      </c>
      <c r="D19" s="17" t="s">
        <v>10</v>
      </c>
      <c r="E19" s="18">
        <v>157</v>
      </c>
      <c r="F19" s="19" t="s">
        <v>44</v>
      </c>
      <c r="G19" s="16">
        <v>100</v>
      </c>
      <c r="H19" s="20" t="s">
        <v>10</v>
      </c>
      <c r="I19" s="18">
        <v>1</v>
      </c>
      <c r="J19" s="21" t="s">
        <v>45</v>
      </c>
      <c r="K19" s="16">
        <v>0</v>
      </c>
      <c r="L19" s="22" t="s">
        <v>46</v>
      </c>
      <c r="M19" s="16">
        <v>100</v>
      </c>
      <c r="N19" s="17" t="s">
        <v>10</v>
      </c>
      <c r="O19" s="23"/>
      <c r="P19" s="14" t="s">
        <v>43</v>
      </c>
      <c r="Q19" s="26" t="s">
        <v>47</v>
      </c>
      <c r="R19" s="36">
        <v>5650</v>
      </c>
      <c r="S19" s="17" t="s">
        <v>10</v>
      </c>
      <c r="T19" s="26" t="s">
        <v>47</v>
      </c>
      <c r="U19" s="25">
        <f t="shared" ref="U19:U26" si="28">R19</f>
        <v>5650</v>
      </c>
      <c r="V19" s="17" t="s">
        <v>10</v>
      </c>
      <c r="Y19" s="28"/>
    </row>
    <row r="20" spans="1:29" ht="24.75" customHeight="1" x14ac:dyDescent="0.15">
      <c r="A20" s="14" t="s">
        <v>48</v>
      </c>
      <c r="B20" s="15" t="str">
        <f t="shared" ref="B20:B26" si="29">B$7</f>
        <v>1.4km</v>
      </c>
      <c r="C20" s="16">
        <f t="shared" ref="C20:C26" si="30">C19-10</f>
        <v>910</v>
      </c>
      <c r="D20" s="17" t="s">
        <v>10</v>
      </c>
      <c r="E20" s="18">
        <f t="shared" ref="E20:E22" si="31">X20</f>
        <v>159</v>
      </c>
      <c r="F20" s="19" t="s">
        <v>44</v>
      </c>
      <c r="G20" s="16">
        <f>G$19</f>
        <v>100</v>
      </c>
      <c r="H20" s="20" t="s">
        <v>10</v>
      </c>
      <c r="I20" s="18">
        <v>1</v>
      </c>
      <c r="J20" s="21" t="s">
        <v>45</v>
      </c>
      <c r="K20" s="16">
        <f t="shared" ref="K20:K22" si="32">Z20-60</f>
        <v>0</v>
      </c>
      <c r="L20" s="22" t="s">
        <v>46</v>
      </c>
      <c r="M20" s="16">
        <f>M$19</f>
        <v>100</v>
      </c>
      <c r="N20" s="17" t="s">
        <v>10</v>
      </c>
      <c r="P20" s="14" t="s">
        <v>48</v>
      </c>
      <c r="Q20" s="26" t="s">
        <v>47</v>
      </c>
      <c r="R20" s="36">
        <f t="shared" ref="R20:R26" si="33">AB20</f>
        <v>5590</v>
      </c>
      <c r="S20" s="17" t="s">
        <v>10</v>
      </c>
      <c r="T20" s="26" t="s">
        <v>47</v>
      </c>
      <c r="U20" s="25">
        <f t="shared" si="28"/>
        <v>5590</v>
      </c>
      <c r="V20" s="17" t="s">
        <v>10</v>
      </c>
      <c r="W20" s="37">
        <f t="shared" ref="W20:W22" si="34">R19-R20</f>
        <v>60</v>
      </c>
      <c r="X20" s="5">
        <f t="shared" ref="X20:X22" si="35">ROUND(Y20,0)</f>
        <v>159</v>
      </c>
      <c r="Y20" s="28">
        <f>E$19/C20*C$19</f>
        <v>158.72527472527472</v>
      </c>
      <c r="Z20" s="5">
        <f t="shared" ref="Z20:Z22" si="36">IF(MROUND(AA20,5)&lt;AA20,MROUND(AA20,5)+5,MROUND(AA20,5))</f>
        <v>60</v>
      </c>
      <c r="AA20" s="5">
        <f>ROUNDDOWN(E20/10000*3600,0)</f>
        <v>57</v>
      </c>
      <c r="AB20" s="5">
        <f t="shared" ref="AB20:AB22" si="37">ROUND(AC20,-1)</f>
        <v>5590</v>
      </c>
      <c r="AC20" s="5">
        <f t="shared" ref="AC20:AC22" si="38">R$19*C20/C$19</f>
        <v>5588.586956521739</v>
      </c>
    </row>
    <row r="21" spans="1:29" ht="24.75" customHeight="1" x14ac:dyDescent="0.15">
      <c r="A21" s="14" t="s">
        <v>49</v>
      </c>
      <c r="B21" s="15" t="str">
        <f t="shared" si="29"/>
        <v>1.4km</v>
      </c>
      <c r="C21" s="16">
        <f t="shared" si="30"/>
        <v>900</v>
      </c>
      <c r="D21" s="17" t="s">
        <v>10</v>
      </c>
      <c r="E21" s="18">
        <f t="shared" si="31"/>
        <v>160</v>
      </c>
      <c r="F21" s="19" t="s">
        <v>44</v>
      </c>
      <c r="G21" s="16">
        <f t="shared" ref="G21:G26" si="39">G$19</f>
        <v>100</v>
      </c>
      <c r="H21" s="20" t="s">
        <v>10</v>
      </c>
      <c r="I21" s="18">
        <v>1</v>
      </c>
      <c r="J21" s="21" t="s">
        <v>45</v>
      </c>
      <c r="K21" s="16">
        <f t="shared" si="32"/>
        <v>0</v>
      </c>
      <c r="L21" s="22" t="s">
        <v>46</v>
      </c>
      <c r="M21" s="16">
        <f t="shared" ref="M21:M26" si="40">M$19</f>
        <v>100</v>
      </c>
      <c r="N21" s="17" t="s">
        <v>10</v>
      </c>
      <c r="P21" s="14" t="s">
        <v>49</v>
      </c>
      <c r="Q21" s="26" t="s">
        <v>47</v>
      </c>
      <c r="R21" s="36">
        <f t="shared" si="33"/>
        <v>5530</v>
      </c>
      <c r="S21" s="17" t="s">
        <v>10</v>
      </c>
      <c r="T21" s="26" t="s">
        <v>47</v>
      </c>
      <c r="U21" s="25">
        <f t="shared" si="28"/>
        <v>5530</v>
      </c>
      <c r="V21" s="17" t="s">
        <v>10</v>
      </c>
      <c r="W21" s="37">
        <f t="shared" si="34"/>
        <v>60</v>
      </c>
      <c r="X21" s="5">
        <f t="shared" si="35"/>
        <v>160</v>
      </c>
      <c r="Y21" s="28">
        <f>E$19/C21*C$19</f>
        <v>160.48888888888891</v>
      </c>
      <c r="Z21" s="5">
        <f t="shared" si="36"/>
        <v>60</v>
      </c>
      <c r="AA21" s="5">
        <f t="shared" ref="AA21:AA22" si="41">ROUNDDOWN(E21/10000*3600,0)</f>
        <v>57</v>
      </c>
      <c r="AB21" s="5">
        <f t="shared" si="37"/>
        <v>5530</v>
      </c>
      <c r="AC21" s="5">
        <f t="shared" si="38"/>
        <v>5527.173913043478</v>
      </c>
    </row>
    <row r="22" spans="1:29" ht="24.75" customHeight="1" x14ac:dyDescent="0.15">
      <c r="A22" s="14" t="s">
        <v>50</v>
      </c>
      <c r="B22" s="15" t="str">
        <f t="shared" si="29"/>
        <v>1.4km</v>
      </c>
      <c r="C22" s="16">
        <f t="shared" si="30"/>
        <v>890</v>
      </c>
      <c r="D22" s="17" t="s">
        <v>10</v>
      </c>
      <c r="E22" s="18">
        <f t="shared" si="31"/>
        <v>162</v>
      </c>
      <c r="F22" s="19" t="s">
        <v>44</v>
      </c>
      <c r="G22" s="16">
        <f t="shared" si="39"/>
        <v>100</v>
      </c>
      <c r="H22" s="20" t="s">
        <v>10</v>
      </c>
      <c r="I22" s="18">
        <v>1</v>
      </c>
      <c r="J22" s="21" t="s">
        <v>45</v>
      </c>
      <c r="K22" s="16">
        <f t="shared" si="32"/>
        <v>0</v>
      </c>
      <c r="L22" s="22" t="s">
        <v>46</v>
      </c>
      <c r="M22" s="16">
        <f t="shared" si="40"/>
        <v>100</v>
      </c>
      <c r="N22" s="17" t="s">
        <v>10</v>
      </c>
      <c r="P22" s="14" t="s">
        <v>50</v>
      </c>
      <c r="Q22" s="26" t="s">
        <v>47</v>
      </c>
      <c r="R22" s="36">
        <f t="shared" si="33"/>
        <v>5470</v>
      </c>
      <c r="S22" s="17" t="s">
        <v>10</v>
      </c>
      <c r="T22" s="26" t="s">
        <v>47</v>
      </c>
      <c r="U22" s="25">
        <f t="shared" si="28"/>
        <v>5470</v>
      </c>
      <c r="V22" s="17" t="s">
        <v>10</v>
      </c>
      <c r="W22" s="37">
        <f t="shared" si="34"/>
        <v>60</v>
      </c>
      <c r="X22" s="5">
        <f t="shared" si="35"/>
        <v>162</v>
      </c>
      <c r="Y22" s="28">
        <f>E$19/C22*C$19</f>
        <v>162.29213483146066</v>
      </c>
      <c r="Z22" s="5">
        <f t="shared" si="36"/>
        <v>60</v>
      </c>
      <c r="AA22" s="5">
        <f t="shared" si="41"/>
        <v>58</v>
      </c>
      <c r="AB22" s="5">
        <f t="shared" si="37"/>
        <v>5470</v>
      </c>
      <c r="AC22" s="5">
        <f t="shared" si="38"/>
        <v>5465.760869565217</v>
      </c>
    </row>
    <row r="23" spans="1:29" ht="24.75" customHeight="1" x14ac:dyDescent="0.15">
      <c r="A23" s="14" t="s">
        <v>94</v>
      </c>
      <c r="B23" s="15" t="str">
        <f t="shared" si="29"/>
        <v>1.4km</v>
      </c>
      <c r="C23" s="16">
        <f t="shared" si="30"/>
        <v>880</v>
      </c>
      <c r="D23" s="17" t="s">
        <v>10</v>
      </c>
      <c r="E23" s="18">
        <f t="shared" ref="E23:E26" si="42">X23</f>
        <v>164</v>
      </c>
      <c r="F23" s="19" t="s">
        <v>44</v>
      </c>
      <c r="G23" s="16">
        <f t="shared" si="39"/>
        <v>100</v>
      </c>
      <c r="H23" s="20" t="s">
        <v>10</v>
      </c>
      <c r="I23" s="18">
        <v>1</v>
      </c>
      <c r="J23" s="21" t="s">
        <v>45</v>
      </c>
      <c r="K23" s="16">
        <f t="shared" ref="K23:K26" si="43">Z23-60</f>
        <v>0</v>
      </c>
      <c r="L23" s="22" t="s">
        <v>46</v>
      </c>
      <c r="M23" s="16">
        <f t="shared" si="40"/>
        <v>100</v>
      </c>
      <c r="N23" s="17" t="s">
        <v>10</v>
      </c>
      <c r="P23" s="14" t="s">
        <v>94</v>
      </c>
      <c r="Q23" s="26" t="s">
        <v>47</v>
      </c>
      <c r="R23" s="36">
        <f t="shared" si="33"/>
        <v>5400</v>
      </c>
      <c r="S23" s="17" t="s">
        <v>10</v>
      </c>
      <c r="T23" s="26" t="s">
        <v>47</v>
      </c>
      <c r="U23" s="25">
        <f t="shared" si="28"/>
        <v>5400</v>
      </c>
      <c r="V23" s="17" t="s">
        <v>10</v>
      </c>
      <c r="W23" s="37">
        <f t="shared" ref="W23:W26" si="44">R22-R23</f>
        <v>70</v>
      </c>
      <c r="X23" s="5">
        <f t="shared" ref="X23:X26" si="45">ROUND(Y23,0)</f>
        <v>164</v>
      </c>
      <c r="Y23" s="28">
        <f t="shared" ref="Y23:Y26" si="46">E$19/C23*C$19</f>
        <v>164.13636363636363</v>
      </c>
      <c r="Z23" s="5">
        <f t="shared" ref="Z23:Z26" si="47">IF(MROUND(AA23,5)&lt;AA23,MROUND(AA23,5)+5,MROUND(AA23,5))</f>
        <v>60</v>
      </c>
      <c r="AA23" s="5">
        <f t="shared" ref="AA23:AA26" si="48">ROUNDDOWN(E23/10000*3600,0)</f>
        <v>59</v>
      </c>
      <c r="AB23" s="5">
        <f t="shared" ref="AB23:AB26" si="49">ROUND(AC23,-1)</f>
        <v>5400</v>
      </c>
      <c r="AC23" s="5">
        <f t="shared" ref="AC23:AC26" si="50">R$19*C23/C$19</f>
        <v>5404.347826086957</v>
      </c>
    </row>
    <row r="24" spans="1:29" ht="24.75" customHeight="1" x14ac:dyDescent="0.15">
      <c r="A24" s="14" t="s">
        <v>51</v>
      </c>
      <c r="B24" s="15" t="str">
        <f t="shared" si="29"/>
        <v>1.4km</v>
      </c>
      <c r="C24" s="16">
        <f t="shared" si="30"/>
        <v>870</v>
      </c>
      <c r="D24" s="17" t="s">
        <v>10</v>
      </c>
      <c r="E24" s="18">
        <f t="shared" si="42"/>
        <v>166</v>
      </c>
      <c r="F24" s="19" t="s">
        <v>44</v>
      </c>
      <c r="G24" s="16">
        <f t="shared" si="39"/>
        <v>100</v>
      </c>
      <c r="H24" s="20" t="s">
        <v>10</v>
      </c>
      <c r="I24" s="18">
        <v>1</v>
      </c>
      <c r="J24" s="21" t="s">
        <v>45</v>
      </c>
      <c r="K24" s="16">
        <f t="shared" si="43"/>
        <v>0</v>
      </c>
      <c r="L24" s="22" t="s">
        <v>46</v>
      </c>
      <c r="M24" s="16">
        <f t="shared" si="40"/>
        <v>100</v>
      </c>
      <c r="N24" s="17" t="s">
        <v>10</v>
      </c>
      <c r="P24" s="14" t="s">
        <v>51</v>
      </c>
      <c r="Q24" s="26" t="s">
        <v>47</v>
      </c>
      <c r="R24" s="36">
        <f t="shared" si="33"/>
        <v>5340</v>
      </c>
      <c r="S24" s="17" t="s">
        <v>10</v>
      </c>
      <c r="T24" s="26" t="s">
        <v>47</v>
      </c>
      <c r="U24" s="25">
        <f t="shared" si="28"/>
        <v>5340</v>
      </c>
      <c r="V24" s="17" t="s">
        <v>10</v>
      </c>
      <c r="W24" s="37">
        <f t="shared" si="44"/>
        <v>60</v>
      </c>
      <c r="X24" s="5">
        <f t="shared" si="45"/>
        <v>166</v>
      </c>
      <c r="Y24" s="28">
        <f t="shared" si="46"/>
        <v>166.02298850574712</v>
      </c>
      <c r="Z24" s="5">
        <f t="shared" si="47"/>
        <v>60</v>
      </c>
      <c r="AA24" s="5">
        <f t="shared" si="48"/>
        <v>59</v>
      </c>
      <c r="AB24" s="5">
        <f t="shared" si="49"/>
        <v>5340</v>
      </c>
      <c r="AC24" s="5">
        <f t="shared" si="50"/>
        <v>5342.934782608696</v>
      </c>
    </row>
    <row r="25" spans="1:29" ht="24.75" customHeight="1" x14ac:dyDescent="0.15">
      <c r="A25" s="14" t="s">
        <v>52</v>
      </c>
      <c r="B25" s="15" t="str">
        <f t="shared" si="29"/>
        <v>1.4km</v>
      </c>
      <c r="C25" s="16">
        <f t="shared" si="30"/>
        <v>860</v>
      </c>
      <c r="D25" s="17" t="s">
        <v>10</v>
      </c>
      <c r="E25" s="18">
        <f t="shared" si="42"/>
        <v>168</v>
      </c>
      <c r="F25" s="19" t="s">
        <v>44</v>
      </c>
      <c r="G25" s="16">
        <f t="shared" si="39"/>
        <v>100</v>
      </c>
      <c r="H25" s="20" t="s">
        <v>10</v>
      </c>
      <c r="I25" s="18">
        <v>1</v>
      </c>
      <c r="J25" s="21" t="s">
        <v>45</v>
      </c>
      <c r="K25" s="16">
        <f t="shared" si="43"/>
        <v>0</v>
      </c>
      <c r="L25" s="22" t="s">
        <v>46</v>
      </c>
      <c r="M25" s="16">
        <f t="shared" si="40"/>
        <v>100</v>
      </c>
      <c r="N25" s="17" t="s">
        <v>10</v>
      </c>
      <c r="P25" s="14" t="s">
        <v>52</v>
      </c>
      <c r="Q25" s="26" t="s">
        <v>47</v>
      </c>
      <c r="R25" s="36">
        <f t="shared" si="33"/>
        <v>5280</v>
      </c>
      <c r="S25" s="17" t="s">
        <v>10</v>
      </c>
      <c r="T25" s="26" t="s">
        <v>47</v>
      </c>
      <c r="U25" s="25">
        <f t="shared" si="28"/>
        <v>5280</v>
      </c>
      <c r="V25" s="17" t="s">
        <v>10</v>
      </c>
      <c r="W25" s="37">
        <f t="shared" si="44"/>
        <v>60</v>
      </c>
      <c r="X25" s="5">
        <f t="shared" si="45"/>
        <v>168</v>
      </c>
      <c r="Y25" s="28">
        <f t="shared" si="46"/>
        <v>167.95348837209303</v>
      </c>
      <c r="Z25" s="5">
        <f t="shared" si="47"/>
        <v>60</v>
      </c>
      <c r="AA25" s="5">
        <f t="shared" si="48"/>
        <v>60</v>
      </c>
      <c r="AB25" s="5">
        <f t="shared" si="49"/>
        <v>5280</v>
      </c>
      <c r="AC25" s="5">
        <f t="shared" si="50"/>
        <v>5281.521739130435</v>
      </c>
    </row>
    <row r="26" spans="1:29" ht="24.75" customHeight="1" x14ac:dyDescent="0.15">
      <c r="A26" s="14" t="s">
        <v>55</v>
      </c>
      <c r="B26" s="15" t="str">
        <f t="shared" si="29"/>
        <v>1.4km</v>
      </c>
      <c r="C26" s="16">
        <f t="shared" si="30"/>
        <v>850</v>
      </c>
      <c r="D26" s="17" t="s">
        <v>10</v>
      </c>
      <c r="E26" s="18">
        <f t="shared" si="42"/>
        <v>170</v>
      </c>
      <c r="F26" s="19" t="s">
        <v>44</v>
      </c>
      <c r="G26" s="16">
        <f t="shared" si="39"/>
        <v>100</v>
      </c>
      <c r="H26" s="20" t="s">
        <v>10</v>
      </c>
      <c r="I26" s="18">
        <v>1</v>
      </c>
      <c r="J26" s="21" t="s">
        <v>45</v>
      </c>
      <c r="K26" s="16">
        <f t="shared" si="43"/>
        <v>5</v>
      </c>
      <c r="L26" s="22" t="s">
        <v>46</v>
      </c>
      <c r="M26" s="16">
        <f t="shared" si="40"/>
        <v>100</v>
      </c>
      <c r="N26" s="17" t="s">
        <v>10</v>
      </c>
      <c r="P26" s="14" t="s">
        <v>55</v>
      </c>
      <c r="Q26" s="26" t="s">
        <v>47</v>
      </c>
      <c r="R26" s="36">
        <f t="shared" si="33"/>
        <v>5220</v>
      </c>
      <c r="S26" s="17" t="s">
        <v>10</v>
      </c>
      <c r="T26" s="26" t="s">
        <v>47</v>
      </c>
      <c r="U26" s="25">
        <f t="shared" si="28"/>
        <v>5220</v>
      </c>
      <c r="V26" s="17" t="s">
        <v>10</v>
      </c>
      <c r="W26" s="37">
        <f t="shared" si="44"/>
        <v>60</v>
      </c>
      <c r="X26" s="5">
        <f t="shared" si="45"/>
        <v>170</v>
      </c>
      <c r="Y26" s="28">
        <f t="shared" si="46"/>
        <v>169.92941176470586</v>
      </c>
      <c r="Z26" s="5">
        <f t="shared" si="47"/>
        <v>65</v>
      </c>
      <c r="AA26" s="5">
        <f t="shared" si="48"/>
        <v>61</v>
      </c>
      <c r="AB26" s="5">
        <f t="shared" si="49"/>
        <v>5220</v>
      </c>
      <c r="AC26" s="5">
        <f t="shared" si="50"/>
        <v>5220.108695652174</v>
      </c>
    </row>
    <row r="27" spans="1:29" ht="24.75" customHeight="1" x14ac:dyDescent="0.15">
      <c r="A27" s="79"/>
      <c r="B27" s="85"/>
      <c r="C27" s="80"/>
      <c r="D27" s="81"/>
      <c r="E27" s="80"/>
      <c r="F27" s="82"/>
      <c r="G27" s="80"/>
      <c r="H27" s="78"/>
      <c r="I27" s="80"/>
      <c r="J27" s="83"/>
      <c r="K27" s="80"/>
      <c r="L27" s="84"/>
      <c r="M27" s="80"/>
      <c r="N27" s="81"/>
      <c r="P27" s="79"/>
      <c r="Q27" s="33"/>
      <c r="R27" s="86"/>
      <c r="S27" s="81"/>
      <c r="T27" s="78"/>
      <c r="U27" s="38"/>
      <c r="V27" s="81"/>
      <c r="W27" s="37"/>
      <c r="Y27" s="28"/>
    </row>
    <row r="28" spans="1:29" ht="24.75" customHeight="1" x14ac:dyDescent="0.15">
      <c r="A28" s="13" t="s">
        <v>57</v>
      </c>
      <c r="B28" s="8"/>
      <c r="Y28" s="28"/>
    </row>
    <row r="29" spans="1:29" ht="24.75" customHeight="1" x14ac:dyDescent="0.15">
      <c r="A29" s="131"/>
      <c r="B29" s="131" t="s">
        <v>40</v>
      </c>
      <c r="C29" s="131"/>
      <c r="D29" s="131"/>
      <c r="E29" s="131"/>
      <c r="F29" s="131"/>
      <c r="G29" s="131"/>
      <c r="H29" s="131"/>
      <c r="I29" s="132" t="s">
        <v>41</v>
      </c>
      <c r="J29" s="133"/>
      <c r="K29" s="133"/>
      <c r="L29" s="133"/>
      <c r="M29" s="133"/>
      <c r="N29" s="134"/>
      <c r="P29" s="131"/>
      <c r="Q29" s="138" t="s">
        <v>42</v>
      </c>
      <c r="R29" s="139"/>
      <c r="S29" s="139"/>
      <c r="T29" s="139"/>
      <c r="U29" s="139"/>
      <c r="V29" s="140"/>
      <c r="X29" s="5" t="s">
        <v>58</v>
      </c>
      <c r="Y29" s="28"/>
      <c r="Z29" s="5" t="s">
        <v>59</v>
      </c>
      <c r="AB29" s="5" t="s">
        <v>60</v>
      </c>
    </row>
    <row r="30" spans="1:29" ht="24.75" customHeight="1" x14ac:dyDescent="0.15">
      <c r="A30" s="131"/>
      <c r="B30" s="131" t="s">
        <v>9</v>
      </c>
      <c r="C30" s="131"/>
      <c r="D30" s="131"/>
      <c r="E30" s="131" t="s">
        <v>12</v>
      </c>
      <c r="F30" s="131"/>
      <c r="G30" s="131"/>
      <c r="H30" s="131"/>
      <c r="I30" s="135"/>
      <c r="J30" s="136"/>
      <c r="K30" s="136"/>
      <c r="L30" s="136"/>
      <c r="M30" s="136"/>
      <c r="N30" s="137"/>
      <c r="P30" s="131"/>
      <c r="Q30" s="138" t="s">
        <v>9</v>
      </c>
      <c r="R30" s="139"/>
      <c r="S30" s="140"/>
      <c r="T30" s="141" t="s">
        <v>12</v>
      </c>
      <c r="U30" s="142"/>
      <c r="V30" s="143"/>
      <c r="Y30" s="28"/>
    </row>
    <row r="31" spans="1:29" ht="24.75" customHeight="1" x14ac:dyDescent="0.15">
      <c r="A31" s="14" t="s">
        <v>43</v>
      </c>
      <c r="B31" s="15" t="str">
        <f t="shared" ref="B31:B37" si="51">B$7</f>
        <v>1.4km</v>
      </c>
      <c r="C31" s="16">
        <v>800</v>
      </c>
      <c r="D31" s="17" t="s">
        <v>10</v>
      </c>
      <c r="E31" s="18">
        <v>259</v>
      </c>
      <c r="F31" s="19" t="s">
        <v>44</v>
      </c>
      <c r="G31" s="16">
        <v>100</v>
      </c>
      <c r="H31" s="20" t="s">
        <v>10</v>
      </c>
      <c r="I31" s="18">
        <v>1</v>
      </c>
      <c r="J31" s="21" t="s">
        <v>45</v>
      </c>
      <c r="K31" s="16">
        <v>35</v>
      </c>
      <c r="L31" s="22" t="s">
        <v>46</v>
      </c>
      <c r="M31" s="16">
        <v>100</v>
      </c>
      <c r="N31" s="17" t="s">
        <v>10</v>
      </c>
      <c r="O31" s="23"/>
      <c r="P31" s="14" t="str">
        <f t="shared" ref="P31:P34" si="52">A31</f>
        <v>上限運賃</v>
      </c>
      <c r="Q31" s="39" t="s">
        <v>47</v>
      </c>
      <c r="R31" s="25">
        <v>4020</v>
      </c>
      <c r="S31" s="17" t="s">
        <v>10</v>
      </c>
      <c r="T31" s="39" t="s">
        <v>47</v>
      </c>
      <c r="U31" s="25">
        <f t="shared" ref="U31:U34" si="53">R31</f>
        <v>4020</v>
      </c>
      <c r="V31" s="17" t="s">
        <v>10</v>
      </c>
      <c r="Y31" s="28"/>
    </row>
    <row r="32" spans="1:29" ht="24.75" customHeight="1" x14ac:dyDescent="0.15">
      <c r="A32" s="14" t="s">
        <v>48</v>
      </c>
      <c r="B32" s="15" t="str">
        <f t="shared" si="51"/>
        <v>1.4km</v>
      </c>
      <c r="C32" s="16">
        <f>C31-10</f>
        <v>790</v>
      </c>
      <c r="D32" s="17" t="s">
        <v>10</v>
      </c>
      <c r="E32" s="18">
        <f>X32</f>
        <v>262</v>
      </c>
      <c r="F32" s="19" t="s">
        <v>44</v>
      </c>
      <c r="G32" s="16">
        <f>G$31</f>
        <v>100</v>
      </c>
      <c r="H32" s="20" t="s">
        <v>10</v>
      </c>
      <c r="I32" s="18">
        <v>1</v>
      </c>
      <c r="J32" s="21" t="s">
        <v>45</v>
      </c>
      <c r="K32" s="16">
        <f>Z32-60</f>
        <v>35</v>
      </c>
      <c r="L32" s="22" t="s">
        <v>46</v>
      </c>
      <c r="M32" s="16">
        <v>100</v>
      </c>
      <c r="N32" s="17" t="s">
        <v>10</v>
      </c>
      <c r="P32" s="14" t="str">
        <f t="shared" si="52"/>
        <v>A運賃</v>
      </c>
      <c r="Q32" s="26" t="s">
        <v>47</v>
      </c>
      <c r="R32" s="25">
        <f>AB32</f>
        <v>3970</v>
      </c>
      <c r="S32" s="17" t="s">
        <v>10</v>
      </c>
      <c r="T32" s="26" t="s">
        <v>47</v>
      </c>
      <c r="U32" s="25">
        <f t="shared" si="53"/>
        <v>3970</v>
      </c>
      <c r="V32" s="17" t="s">
        <v>10</v>
      </c>
      <c r="W32" s="27">
        <f>R31-R32</f>
        <v>50</v>
      </c>
      <c r="X32" s="5">
        <f>ROUND(Y32,0)</f>
        <v>262</v>
      </c>
      <c r="Y32" s="28">
        <f>E$31/C32*C$31</f>
        <v>262.27848101265823</v>
      </c>
      <c r="Z32" s="5">
        <f>IF(MROUND(AA32,5)&lt;AA32,MROUND(AA32,5)+5,MROUND(AA32,5))</f>
        <v>95</v>
      </c>
      <c r="AA32" s="5">
        <f>ROUNDDOWN(E32/10000*3600,0)</f>
        <v>94</v>
      </c>
      <c r="AB32" s="5">
        <f>ROUND(AC32,-1)</f>
        <v>3970</v>
      </c>
      <c r="AC32" s="5">
        <f>R$31*C32/C$31</f>
        <v>3969.75</v>
      </c>
    </row>
    <row r="33" spans="1:29" ht="24.75" customHeight="1" x14ac:dyDescent="0.15">
      <c r="A33" s="14" t="s">
        <v>49</v>
      </c>
      <c r="B33" s="15" t="str">
        <f t="shared" si="51"/>
        <v>1.4km</v>
      </c>
      <c r="C33" s="16">
        <f t="shared" ref="C33:C37" si="54">C32-10</f>
        <v>780</v>
      </c>
      <c r="D33" s="17" t="s">
        <v>10</v>
      </c>
      <c r="E33" s="18">
        <f>X33</f>
        <v>266</v>
      </c>
      <c r="F33" s="19" t="s">
        <v>44</v>
      </c>
      <c r="G33" s="16">
        <f t="shared" ref="G33:G37" si="55">G$31</f>
        <v>100</v>
      </c>
      <c r="H33" s="20" t="s">
        <v>10</v>
      </c>
      <c r="I33" s="18">
        <v>1</v>
      </c>
      <c r="J33" s="21" t="s">
        <v>45</v>
      </c>
      <c r="K33" s="16">
        <f>Z33-60</f>
        <v>35</v>
      </c>
      <c r="L33" s="22" t="s">
        <v>46</v>
      </c>
      <c r="M33" s="16">
        <v>100</v>
      </c>
      <c r="N33" s="17" t="s">
        <v>10</v>
      </c>
      <c r="P33" s="14" t="str">
        <f t="shared" si="52"/>
        <v>B運賃</v>
      </c>
      <c r="Q33" s="26" t="s">
        <v>47</v>
      </c>
      <c r="R33" s="25">
        <f>AB33</f>
        <v>3920</v>
      </c>
      <c r="S33" s="17" t="s">
        <v>10</v>
      </c>
      <c r="T33" s="26" t="s">
        <v>47</v>
      </c>
      <c r="U33" s="25">
        <f t="shared" si="53"/>
        <v>3920</v>
      </c>
      <c r="V33" s="17" t="s">
        <v>10</v>
      </c>
      <c r="W33" s="27">
        <f t="shared" ref="W33:W34" si="56">R32-R33</f>
        <v>50</v>
      </c>
      <c r="X33" s="5">
        <f>ROUND(Y33,0)</f>
        <v>266</v>
      </c>
      <c r="Y33" s="28">
        <f>E$31/C33*C$31</f>
        <v>265.64102564102564</v>
      </c>
      <c r="Z33" s="5">
        <f>IF(MROUND(AA33,5)&lt;AA33,MROUND(AA33,5)+5,MROUND(AA33,5))</f>
        <v>95</v>
      </c>
      <c r="AA33" s="5">
        <f>ROUNDDOWN(E33/10000*3600,0)</f>
        <v>95</v>
      </c>
      <c r="AB33" s="5">
        <f>ROUND(AC33,-1)</f>
        <v>3920</v>
      </c>
      <c r="AC33" s="5">
        <f>R$31*C33/C$31</f>
        <v>3919.5</v>
      </c>
    </row>
    <row r="34" spans="1:29" ht="24.75" customHeight="1" x14ac:dyDescent="0.15">
      <c r="A34" s="14" t="s">
        <v>50</v>
      </c>
      <c r="B34" s="15" t="str">
        <f t="shared" si="51"/>
        <v>1.4km</v>
      </c>
      <c r="C34" s="16">
        <f t="shared" si="54"/>
        <v>770</v>
      </c>
      <c r="D34" s="17" t="s">
        <v>10</v>
      </c>
      <c r="E34" s="18">
        <f>X34</f>
        <v>269</v>
      </c>
      <c r="F34" s="19" t="s">
        <v>44</v>
      </c>
      <c r="G34" s="16">
        <f t="shared" si="55"/>
        <v>100</v>
      </c>
      <c r="H34" s="20" t="s">
        <v>10</v>
      </c>
      <c r="I34" s="18">
        <v>1</v>
      </c>
      <c r="J34" s="21" t="s">
        <v>45</v>
      </c>
      <c r="K34" s="16">
        <f>Z34-60</f>
        <v>40</v>
      </c>
      <c r="L34" s="22" t="s">
        <v>46</v>
      </c>
      <c r="M34" s="16">
        <v>100</v>
      </c>
      <c r="N34" s="17" t="s">
        <v>10</v>
      </c>
      <c r="P34" s="14" t="str">
        <f t="shared" si="52"/>
        <v>C運賃</v>
      </c>
      <c r="Q34" s="26" t="s">
        <v>47</v>
      </c>
      <c r="R34" s="25">
        <f>AB34</f>
        <v>3870</v>
      </c>
      <c r="S34" s="17" t="s">
        <v>10</v>
      </c>
      <c r="T34" s="26" t="s">
        <v>47</v>
      </c>
      <c r="U34" s="25">
        <f t="shared" si="53"/>
        <v>3870</v>
      </c>
      <c r="V34" s="17" t="s">
        <v>10</v>
      </c>
      <c r="W34" s="27">
        <f t="shared" si="56"/>
        <v>50</v>
      </c>
      <c r="X34" s="5">
        <f>ROUND(Y34,0)</f>
        <v>269</v>
      </c>
      <c r="Y34" s="28">
        <f>E$31/C34*C$31</f>
        <v>269.09090909090907</v>
      </c>
      <c r="Z34" s="5">
        <f>IF(MROUND(AA34,5)&lt;AA34,MROUND(AA34,5)+5,MROUND(AA34,5))</f>
        <v>100</v>
      </c>
      <c r="AA34" s="5">
        <f>ROUNDDOWN(E34/10000*3600,0)</f>
        <v>96</v>
      </c>
      <c r="AB34" s="5">
        <f>ROUND(AC34,-1)</f>
        <v>3870</v>
      </c>
      <c r="AC34" s="5">
        <f>R$31*C34/C$31</f>
        <v>3869.25</v>
      </c>
    </row>
    <row r="35" spans="1:29" ht="24.75" customHeight="1" x14ac:dyDescent="0.15">
      <c r="A35" s="14" t="s">
        <v>94</v>
      </c>
      <c r="B35" s="15" t="str">
        <f t="shared" si="51"/>
        <v>1.4km</v>
      </c>
      <c r="C35" s="16">
        <f t="shared" si="54"/>
        <v>760</v>
      </c>
      <c r="D35" s="17" t="s">
        <v>10</v>
      </c>
      <c r="E35" s="18">
        <f t="shared" ref="E35:E37" si="57">X35</f>
        <v>273</v>
      </c>
      <c r="F35" s="19" t="s">
        <v>44</v>
      </c>
      <c r="G35" s="16">
        <f t="shared" si="55"/>
        <v>100</v>
      </c>
      <c r="H35" s="20" t="s">
        <v>10</v>
      </c>
      <c r="I35" s="18">
        <v>1</v>
      </c>
      <c r="J35" s="21" t="s">
        <v>45</v>
      </c>
      <c r="K35" s="16">
        <f t="shared" ref="K35:K37" si="58">Z35-60</f>
        <v>40</v>
      </c>
      <c r="L35" s="22" t="s">
        <v>46</v>
      </c>
      <c r="M35" s="16">
        <v>100</v>
      </c>
      <c r="N35" s="17" t="s">
        <v>10</v>
      </c>
      <c r="P35" s="14" t="str">
        <f t="shared" ref="P35:P37" si="59">A35</f>
        <v>D運賃</v>
      </c>
      <c r="Q35" s="26" t="s">
        <v>47</v>
      </c>
      <c r="R35" s="25">
        <f t="shared" ref="R35:R37" si="60">AB35</f>
        <v>3820</v>
      </c>
      <c r="S35" s="17" t="s">
        <v>10</v>
      </c>
      <c r="T35" s="26" t="s">
        <v>47</v>
      </c>
      <c r="U35" s="25">
        <f t="shared" ref="U35:U37" si="61">R35</f>
        <v>3820</v>
      </c>
      <c r="V35" s="17" t="s">
        <v>10</v>
      </c>
      <c r="W35" s="27">
        <f t="shared" ref="W35:W37" si="62">R34-R35</f>
        <v>50</v>
      </c>
      <c r="X35" s="5">
        <f t="shared" ref="X35:X37" si="63">ROUND(Y35,0)</f>
        <v>273</v>
      </c>
      <c r="Y35" s="28">
        <f t="shared" ref="Y35:Y37" si="64">E$31/C35*C$31</f>
        <v>272.63157894736844</v>
      </c>
      <c r="Z35" s="5">
        <f t="shared" ref="Z35:Z37" si="65">IF(MROUND(AA35,5)&lt;AA35,MROUND(AA35,5)+5,MROUND(AA35,5))</f>
        <v>100</v>
      </c>
      <c r="AA35" s="5">
        <f t="shared" ref="AA35:AA37" si="66">ROUNDDOWN(E35/10000*3600,0)</f>
        <v>98</v>
      </c>
      <c r="AB35" s="5">
        <f t="shared" ref="AB35:AB37" si="67">ROUND(AC35,-1)</f>
        <v>3820</v>
      </c>
      <c r="AC35" s="5">
        <f t="shared" ref="AC35:AC37" si="68">R$31*C35/C$31</f>
        <v>3819</v>
      </c>
    </row>
    <row r="36" spans="1:29" ht="24.75" customHeight="1" x14ac:dyDescent="0.15">
      <c r="A36" s="14" t="s">
        <v>51</v>
      </c>
      <c r="B36" s="15" t="str">
        <f t="shared" si="51"/>
        <v>1.4km</v>
      </c>
      <c r="C36" s="16">
        <f t="shared" si="54"/>
        <v>750</v>
      </c>
      <c r="D36" s="17" t="s">
        <v>10</v>
      </c>
      <c r="E36" s="18">
        <f t="shared" si="57"/>
        <v>276</v>
      </c>
      <c r="F36" s="19" t="s">
        <v>44</v>
      </c>
      <c r="G36" s="16">
        <f t="shared" si="55"/>
        <v>100</v>
      </c>
      <c r="H36" s="20" t="s">
        <v>10</v>
      </c>
      <c r="I36" s="18">
        <v>1</v>
      </c>
      <c r="J36" s="21" t="s">
        <v>45</v>
      </c>
      <c r="K36" s="16">
        <f t="shared" si="58"/>
        <v>40</v>
      </c>
      <c r="L36" s="22" t="s">
        <v>46</v>
      </c>
      <c r="M36" s="16">
        <v>100</v>
      </c>
      <c r="N36" s="17" t="s">
        <v>10</v>
      </c>
      <c r="P36" s="14" t="str">
        <f t="shared" si="59"/>
        <v>E運賃</v>
      </c>
      <c r="Q36" s="26" t="s">
        <v>47</v>
      </c>
      <c r="R36" s="25">
        <f t="shared" si="60"/>
        <v>3770</v>
      </c>
      <c r="S36" s="17" t="s">
        <v>10</v>
      </c>
      <c r="T36" s="26" t="s">
        <v>47</v>
      </c>
      <c r="U36" s="25">
        <f t="shared" si="61"/>
        <v>3770</v>
      </c>
      <c r="V36" s="17" t="s">
        <v>10</v>
      </c>
      <c r="W36" s="27">
        <f t="shared" si="62"/>
        <v>50</v>
      </c>
      <c r="X36" s="5">
        <f t="shared" si="63"/>
        <v>276</v>
      </c>
      <c r="Y36" s="28">
        <f t="shared" si="64"/>
        <v>276.26666666666665</v>
      </c>
      <c r="Z36" s="5">
        <f t="shared" si="65"/>
        <v>100</v>
      </c>
      <c r="AA36" s="5">
        <f t="shared" si="66"/>
        <v>99</v>
      </c>
      <c r="AB36" s="5">
        <f t="shared" si="67"/>
        <v>3770</v>
      </c>
      <c r="AC36" s="5">
        <f t="shared" si="68"/>
        <v>3768.75</v>
      </c>
    </row>
    <row r="37" spans="1:29" ht="24.75" customHeight="1" x14ac:dyDescent="0.15">
      <c r="A37" s="14" t="s">
        <v>55</v>
      </c>
      <c r="B37" s="15" t="str">
        <f t="shared" si="51"/>
        <v>1.4km</v>
      </c>
      <c r="C37" s="16">
        <f t="shared" si="54"/>
        <v>740</v>
      </c>
      <c r="D37" s="17" t="s">
        <v>10</v>
      </c>
      <c r="E37" s="18">
        <f t="shared" si="57"/>
        <v>280</v>
      </c>
      <c r="F37" s="19" t="s">
        <v>44</v>
      </c>
      <c r="G37" s="16">
        <f t="shared" si="55"/>
        <v>100</v>
      </c>
      <c r="H37" s="20" t="s">
        <v>10</v>
      </c>
      <c r="I37" s="18">
        <v>1</v>
      </c>
      <c r="J37" s="21" t="s">
        <v>45</v>
      </c>
      <c r="K37" s="16">
        <f t="shared" si="58"/>
        <v>40</v>
      </c>
      <c r="L37" s="22" t="s">
        <v>46</v>
      </c>
      <c r="M37" s="16">
        <v>100</v>
      </c>
      <c r="N37" s="17" t="s">
        <v>10</v>
      </c>
      <c r="P37" s="14" t="str">
        <f t="shared" si="59"/>
        <v>下限運賃</v>
      </c>
      <c r="Q37" s="26" t="s">
        <v>47</v>
      </c>
      <c r="R37" s="25">
        <f t="shared" si="60"/>
        <v>3720</v>
      </c>
      <c r="S37" s="17" t="s">
        <v>10</v>
      </c>
      <c r="T37" s="26" t="s">
        <v>47</v>
      </c>
      <c r="U37" s="25">
        <f t="shared" si="61"/>
        <v>3720</v>
      </c>
      <c r="V37" s="17" t="s">
        <v>10</v>
      </c>
      <c r="W37" s="27">
        <f t="shared" si="62"/>
        <v>50</v>
      </c>
      <c r="X37" s="5">
        <f t="shared" si="63"/>
        <v>280</v>
      </c>
      <c r="Y37" s="28">
        <f t="shared" si="64"/>
        <v>280</v>
      </c>
      <c r="Z37" s="5">
        <f t="shared" si="65"/>
        <v>100</v>
      </c>
      <c r="AA37" s="5">
        <f t="shared" si="66"/>
        <v>100</v>
      </c>
      <c r="AB37" s="5">
        <f t="shared" si="67"/>
        <v>3720</v>
      </c>
      <c r="AC37" s="5">
        <f t="shared" si="68"/>
        <v>3718.5</v>
      </c>
    </row>
  </sheetData>
  <mergeCells count="28">
    <mergeCell ref="A29:A30"/>
    <mergeCell ref="B29:H29"/>
    <mergeCell ref="I29:N30"/>
    <mergeCell ref="P29:P30"/>
    <mergeCell ref="Q29:V29"/>
    <mergeCell ref="B30:D30"/>
    <mergeCell ref="E30:H30"/>
    <mergeCell ref="Q30:S30"/>
    <mergeCell ref="T30:V30"/>
    <mergeCell ref="A17:A18"/>
    <mergeCell ref="B17:H17"/>
    <mergeCell ref="I17:N18"/>
    <mergeCell ref="P17:P18"/>
    <mergeCell ref="Q17:V17"/>
    <mergeCell ref="B18:D18"/>
    <mergeCell ref="E18:H18"/>
    <mergeCell ref="Q18:S18"/>
    <mergeCell ref="T18:V18"/>
    <mergeCell ref="C2:R2"/>
    <mergeCell ref="A5:A6"/>
    <mergeCell ref="B5:H5"/>
    <mergeCell ref="I5:N6"/>
    <mergeCell ref="P5:P6"/>
    <mergeCell ref="Q5:V5"/>
    <mergeCell ref="B6:D6"/>
    <mergeCell ref="E6:H6"/>
    <mergeCell ref="Q6:S6"/>
    <mergeCell ref="T6:V6"/>
  </mergeCells>
  <phoneticPr fontId="1"/>
  <printOptions horizontalCentered="1"/>
  <pageMargins left="0.59055118110236227" right="0.59055118110236227" top="0.62992125984251968" bottom="0.59055118110236227" header="0.31496062992125984" footer="0.51181102362204722"/>
  <pageSetup paperSize="9" scale="89"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入力</vt:lpstr>
      <vt:lpstr>【印刷用】自動認可運賃料金表</vt:lpstr>
      <vt:lpstr>【印刷用】適用方法</vt:lpstr>
      <vt:lpstr>釧路</vt:lpstr>
      <vt:lpstr>【印刷用】自動認可運賃料金表!Print_Area</vt:lpstr>
      <vt:lpstr>【印刷用】適用方法!Print_Area</vt:lpstr>
      <vt:lpstr>釧路!Print_Area</vt:lpstr>
      <vt:lpstr>入力!Print_Area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