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updateLinks="never" defaultThemeVersion="124226"/>
  <xr:revisionPtr revIDLastSave="0" documentId="13_ncr:1_{F5788E8A-3F5F-4618-89C1-2555F3AF39C4}" xr6:coauthVersionLast="47" xr6:coauthVersionMax="47" xr10:uidLastSave="{00000000-0000-0000-0000-000000000000}"/>
  <bookViews>
    <workbookView xWindow="28965" yWindow="1785" windowWidth="12735" windowHeight="11220" xr2:uid="{00000000-000D-0000-FFFF-FFFF00000000}"/>
  </bookViews>
  <sheets>
    <sheet name="輸移出入別" sheetId="1" r:id="rId1"/>
  </sheets>
  <definedNames>
    <definedName name="_xlnm.Print_Area" localSheetId="0">輸移出入別!$A$1:$V$14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P13" i="1"/>
  <c r="M13" i="1"/>
  <c r="G13" i="1"/>
  <c r="D13" i="1"/>
  <c r="O13" i="1"/>
  <c r="L13" i="1"/>
  <c r="F13" i="1"/>
  <c r="C13" i="1"/>
  <c r="P12" i="1"/>
  <c r="M12" i="1"/>
  <c r="G12" i="1"/>
  <c r="D12" i="1"/>
  <c r="O12" i="1"/>
  <c r="L12" i="1"/>
  <c r="F12" i="1"/>
  <c r="C12" i="1"/>
  <c r="P11" i="1"/>
  <c r="M11" i="1"/>
  <c r="G11" i="1"/>
  <c r="D11" i="1"/>
  <c r="O11" i="1"/>
  <c r="L11" i="1"/>
  <c r="F11" i="1"/>
  <c r="P10" i="1"/>
  <c r="M10" i="1"/>
  <c r="G10" i="1"/>
  <c r="D10" i="1"/>
  <c r="O10" i="1"/>
  <c r="L10" i="1"/>
  <c r="F10" i="1"/>
  <c r="C10" i="1"/>
  <c r="P9" i="1"/>
  <c r="M9" i="1"/>
  <c r="G9" i="1"/>
  <c r="D9" i="1"/>
  <c r="O9" i="1"/>
  <c r="L9" i="1"/>
  <c r="F9" i="1"/>
  <c r="C9" i="1"/>
  <c r="P8" i="1"/>
  <c r="M8" i="1"/>
  <c r="G8" i="1"/>
  <c r="D8" i="1"/>
  <c r="O8" i="1"/>
  <c r="L8" i="1"/>
  <c r="F8" i="1"/>
  <c r="C8" i="1"/>
  <c r="P7" i="1"/>
  <c r="M7" i="1"/>
  <c r="G7" i="1"/>
  <c r="D7" i="1"/>
  <c r="O7" i="1"/>
  <c r="L7" i="1"/>
  <c r="F7" i="1"/>
  <c r="C7" i="1"/>
  <c r="P6" i="1" l="1"/>
  <c r="M6" i="1"/>
  <c r="G6" i="1"/>
  <c r="D6" i="1"/>
  <c r="O6" i="1"/>
  <c r="L6" i="1"/>
  <c r="F6" i="1"/>
  <c r="C6" i="1"/>
  <c r="Q12" i="1" l="1"/>
  <c r="H12" i="1"/>
  <c r="H8" i="1"/>
  <c r="Q6" i="1"/>
  <c r="S6" i="1" l="1"/>
  <c r="R6" i="1"/>
  <c r="J8" i="1"/>
  <c r="I8" i="1"/>
  <c r="I12" i="1"/>
  <c r="J12" i="1"/>
  <c r="S12" i="1"/>
  <c r="R12" i="1"/>
  <c r="H9" i="1"/>
  <c r="Q9" i="1"/>
  <c r="H11" i="1"/>
  <c r="Q11" i="1"/>
  <c r="H13" i="1"/>
  <c r="Q13" i="1"/>
  <c r="Q7" i="1"/>
  <c r="N14" i="1"/>
  <c r="H6" i="1"/>
  <c r="H7" i="1"/>
  <c r="Q8" i="1"/>
  <c r="H10" i="1"/>
  <c r="Q10" i="1"/>
  <c r="E14" i="1"/>
  <c r="T12" i="1"/>
  <c r="B14" i="1"/>
  <c r="K14" i="1"/>
  <c r="U12" i="1" l="1"/>
  <c r="V12" i="1"/>
  <c r="G14" i="1"/>
  <c r="F14" i="1"/>
  <c r="R10" i="1"/>
  <c r="S10" i="1"/>
  <c r="I10" i="1"/>
  <c r="J10" i="1"/>
  <c r="J7" i="1"/>
  <c r="I7" i="1"/>
  <c r="P14" i="1"/>
  <c r="O14" i="1"/>
  <c r="S7" i="1"/>
  <c r="R7" i="1"/>
  <c r="S13" i="1"/>
  <c r="R13" i="1"/>
  <c r="C14" i="1"/>
  <c r="D14" i="1"/>
  <c r="R11" i="1"/>
  <c r="S11" i="1"/>
  <c r="I11" i="1"/>
  <c r="J11" i="1"/>
  <c r="R9" i="1"/>
  <c r="S9" i="1"/>
  <c r="J9" i="1"/>
  <c r="I9" i="1"/>
  <c r="S8" i="1"/>
  <c r="R8" i="1"/>
  <c r="T6" i="1"/>
  <c r="J6" i="1"/>
  <c r="I6" i="1"/>
  <c r="M14" i="1"/>
  <c r="L14" i="1"/>
  <c r="I13" i="1"/>
  <c r="J13" i="1"/>
  <c r="T13" i="1"/>
  <c r="T11" i="1"/>
  <c r="T9" i="1"/>
  <c r="T7" i="1"/>
  <c r="Q14" i="1"/>
  <c r="T8" i="1"/>
  <c r="T10" i="1"/>
  <c r="H14" i="1"/>
  <c r="V13" i="1" l="1"/>
  <c r="U13" i="1"/>
  <c r="I14" i="1"/>
  <c r="J14" i="1"/>
  <c r="U10" i="1"/>
  <c r="V10" i="1"/>
  <c r="U8" i="1"/>
  <c r="V8" i="1"/>
  <c r="V6" i="1"/>
  <c r="U6" i="1"/>
  <c r="R14" i="1"/>
  <c r="S14" i="1"/>
  <c r="V7" i="1"/>
  <c r="U7" i="1"/>
  <c r="U9" i="1"/>
  <c r="V9" i="1"/>
  <c r="U11" i="1"/>
  <c r="V11" i="1"/>
  <c r="T14" i="1"/>
  <c r="V14" i="1" l="1"/>
  <c r="U14" i="1"/>
</calcChain>
</file>

<file path=xl/sharedStrings.xml><?xml version="1.0" encoding="utf-8"?>
<sst xmlns="http://schemas.openxmlformats.org/spreadsheetml/2006/main" count="34" uniqueCount="22">
  <si>
    <t>表２</t>
    <rPh sb="0" eb="1">
      <t>ヒョウ</t>
    </rPh>
    <phoneticPr fontId="6"/>
  </si>
  <si>
    <t>（単位：万トン）</t>
    <rPh sb="1" eb="3">
      <t>タンイ</t>
    </rPh>
    <rPh sb="4" eb="5">
      <t>マン</t>
    </rPh>
    <phoneticPr fontId="6"/>
  </si>
  <si>
    <t>港名</t>
    <rPh sb="0" eb="1">
      <t>ミナト</t>
    </rPh>
    <rPh sb="1" eb="2">
      <t>メイ</t>
    </rPh>
    <phoneticPr fontId="6"/>
  </si>
  <si>
    <t>輸入</t>
    <rPh sb="0" eb="2">
      <t>ユニュウ</t>
    </rPh>
    <phoneticPr fontId="6"/>
  </si>
  <si>
    <t>輸出</t>
    <rPh sb="0" eb="2">
      <t>ユシュツ</t>
    </rPh>
    <phoneticPr fontId="6"/>
  </si>
  <si>
    <t>小計</t>
    <rPh sb="0" eb="2">
      <t>ショウケイ</t>
    </rPh>
    <phoneticPr fontId="6"/>
  </si>
  <si>
    <t>移入</t>
    <rPh sb="0" eb="2">
      <t>イニュウ</t>
    </rPh>
    <phoneticPr fontId="6"/>
  </si>
  <si>
    <t>移出</t>
    <rPh sb="0" eb="2">
      <t>イシュツ</t>
    </rPh>
    <phoneticPr fontId="6"/>
  </si>
  <si>
    <t>合計</t>
    <rPh sb="0" eb="2">
      <t>ゴウケイ</t>
    </rPh>
    <phoneticPr fontId="6"/>
  </si>
  <si>
    <t>前年度比</t>
    <rPh sb="0" eb="2">
      <t>ゼンネン</t>
    </rPh>
    <rPh sb="2" eb="3">
      <t>ド</t>
    </rPh>
    <rPh sb="3" eb="4">
      <t>ヒ</t>
    </rPh>
    <phoneticPr fontId="6"/>
  </si>
  <si>
    <t>前々年度比</t>
    <rPh sb="0" eb="5">
      <t>ゼンゼンネンドヒ</t>
    </rPh>
    <phoneticPr fontId="6"/>
  </si>
  <si>
    <t>前年度比</t>
    <rPh sb="0" eb="4">
      <t>ゼンネンドヒ</t>
    </rPh>
    <phoneticPr fontId="6"/>
  </si>
  <si>
    <t>横浜</t>
  </si>
  <si>
    <t>東京</t>
  </si>
  <si>
    <t>川崎</t>
  </si>
  <si>
    <t>横須賀</t>
  </si>
  <si>
    <t>千葉</t>
  </si>
  <si>
    <t>木更津</t>
  </si>
  <si>
    <t>鹿島</t>
  </si>
  <si>
    <t>日立</t>
  </si>
  <si>
    <t>合計</t>
  </si>
  <si>
    <t>令和３年度　関東運輸局管内港別船舶積卸し実績（輸移出入別）</t>
    <rPh sb="0" eb="2">
      <t>レイワ</t>
    </rPh>
    <rPh sb="3" eb="5">
      <t>ネンド</t>
    </rPh>
    <rPh sb="6" eb="8">
      <t>カントウ</t>
    </rPh>
    <rPh sb="8" eb="11">
      <t>ウンユキョク</t>
    </rPh>
    <rPh sb="11" eb="13">
      <t>カンナイ</t>
    </rPh>
    <rPh sb="13" eb="14">
      <t>ミナト</t>
    </rPh>
    <rPh sb="14" eb="15">
      <t>ベツ</t>
    </rPh>
    <rPh sb="15" eb="17">
      <t>センパク</t>
    </rPh>
    <rPh sb="17" eb="19">
      <t>ツミオロ</t>
    </rPh>
    <rPh sb="20" eb="22">
      <t>ジッセキ</t>
    </rPh>
    <rPh sb="23" eb="24">
      <t>ユ</t>
    </rPh>
    <rPh sb="24" eb="26">
      <t>イシュツ</t>
    </rPh>
    <rPh sb="26" eb="27">
      <t>ニュウ</t>
    </rPh>
    <rPh sb="27" eb="28">
      <t>ベツ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</si>
</sst>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71">
    <xf numFmtId="0" fontId="0" fillId="0" borderId="0" xfId="0"/>
    <xf numFmtId="0" fontId="3" fillId="0" borderId="0" xfId="2" applyFont="1" applyAlignment="1">
      <alignment horizontal="distributed" justifyLastLine="1"/>
    </xf>
    <xf numFmtId="0" fontId="4" fillId="0" borderId="0" xfId="2" applyFont="1"/>
    <xf numFmtId="0" fontId="5" fillId="0" borderId="0" xfId="2" applyFont="1" applyAlignment="1">
      <alignment horizontal="distributed" vertical="center" justifyLastLine="1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 shrinkToFit="1"/>
    </xf>
    <xf numFmtId="0" fontId="3" fillId="0" borderId="13" xfId="2" applyFont="1" applyBorder="1" applyAlignment="1">
      <alignment horizontal="center"/>
    </xf>
    <xf numFmtId="0" fontId="7" fillId="0" borderId="14" xfId="2" applyFont="1" applyBorder="1" applyAlignment="1">
      <alignment horizontal="center" shrinkToFit="1"/>
    </xf>
    <xf numFmtId="0" fontId="7" fillId="0" borderId="15" xfId="2" applyFont="1" applyBorder="1" applyAlignment="1">
      <alignment horizontal="center" shrinkToFit="1"/>
    </xf>
    <xf numFmtId="0" fontId="7" fillId="0" borderId="16" xfId="2" applyFont="1" applyBorder="1" applyAlignment="1">
      <alignment horizontal="center"/>
    </xf>
    <xf numFmtId="0" fontId="3" fillId="0" borderId="1" xfId="2" applyFont="1" applyBorder="1" applyAlignment="1">
      <alignment horizontal="distributed" vertical="center" justifyLastLine="1"/>
    </xf>
    <xf numFmtId="176" fontId="3" fillId="2" borderId="17" xfId="2" applyNumberFormat="1" applyFont="1" applyFill="1" applyBorder="1" applyAlignment="1">
      <alignment horizontal="right" vertical="center" justifyLastLine="1"/>
    </xf>
    <xf numFmtId="177" fontId="3" fillId="2" borderId="18" xfId="2" applyNumberFormat="1" applyFont="1" applyFill="1" applyBorder="1" applyAlignment="1">
      <alignment horizontal="right" vertical="center" justifyLastLine="1"/>
    </xf>
    <xf numFmtId="177" fontId="3" fillId="2" borderId="19" xfId="2" applyNumberFormat="1" applyFont="1" applyFill="1" applyBorder="1" applyAlignment="1">
      <alignment horizontal="right" vertical="center" justifyLastLine="1"/>
    </xf>
    <xf numFmtId="176" fontId="3" fillId="2" borderId="20" xfId="2" applyNumberFormat="1" applyFont="1" applyFill="1" applyBorder="1" applyAlignment="1">
      <alignment horizontal="right" vertical="center" justifyLastLine="1"/>
    </xf>
    <xf numFmtId="177" fontId="3" fillId="2" borderId="21" xfId="2" applyNumberFormat="1" applyFont="1" applyFill="1" applyBorder="1" applyAlignment="1">
      <alignment horizontal="right" vertical="center" justifyLastLine="1"/>
    </xf>
    <xf numFmtId="177" fontId="3" fillId="2" borderId="22" xfId="2" applyNumberFormat="1" applyFont="1" applyFill="1" applyBorder="1" applyAlignment="1">
      <alignment horizontal="right" vertical="center" justifyLastLine="1"/>
    </xf>
    <xf numFmtId="177" fontId="3" fillId="2" borderId="23" xfId="2" applyNumberFormat="1" applyFont="1" applyFill="1" applyBorder="1" applyAlignment="1">
      <alignment horizontal="right" vertical="center" justifyLastLine="1"/>
    </xf>
    <xf numFmtId="0" fontId="3" fillId="0" borderId="24" xfId="2" applyFont="1" applyBorder="1" applyAlignment="1">
      <alignment horizontal="distributed" vertical="center" justifyLastLine="1"/>
    </xf>
    <xf numFmtId="176" fontId="3" fillId="0" borderId="17" xfId="2" applyNumberFormat="1" applyFont="1" applyFill="1" applyBorder="1" applyAlignment="1">
      <alignment horizontal="right" vertical="center" justifyLastLine="1"/>
    </xf>
    <xf numFmtId="177" fontId="3" fillId="0" borderId="18" xfId="2" applyNumberFormat="1" applyFont="1" applyFill="1" applyBorder="1" applyAlignment="1">
      <alignment horizontal="right" vertical="center" justifyLastLine="1"/>
    </xf>
    <xf numFmtId="177" fontId="3" fillId="0" borderId="19" xfId="2" applyNumberFormat="1" applyFont="1" applyFill="1" applyBorder="1" applyAlignment="1">
      <alignment horizontal="right" vertical="center" justifyLastLine="1"/>
    </xf>
    <xf numFmtId="176" fontId="3" fillId="0" borderId="20" xfId="2" applyNumberFormat="1" applyFont="1" applyFill="1" applyBorder="1" applyAlignment="1">
      <alignment horizontal="right" vertical="center" justifyLastLine="1"/>
    </xf>
    <xf numFmtId="177" fontId="3" fillId="0" borderId="21" xfId="2" applyNumberFormat="1" applyFont="1" applyFill="1" applyBorder="1" applyAlignment="1">
      <alignment horizontal="right" vertical="center" justifyLastLine="1"/>
    </xf>
    <xf numFmtId="177" fontId="3" fillId="0" borderId="22" xfId="2" applyNumberFormat="1" applyFont="1" applyFill="1" applyBorder="1" applyAlignment="1">
      <alignment horizontal="right" vertical="center" justifyLastLine="1"/>
    </xf>
    <xf numFmtId="177" fontId="3" fillId="0" borderId="23" xfId="2" applyNumberFormat="1" applyFont="1" applyFill="1" applyBorder="1" applyAlignment="1">
      <alignment horizontal="right" vertical="center" justifyLastLine="1"/>
    </xf>
    <xf numFmtId="0" fontId="3" fillId="0" borderId="24" xfId="2" applyFont="1" applyBorder="1" applyAlignment="1">
      <alignment horizontal="center" vertical="center" justifyLastLine="1"/>
    </xf>
    <xf numFmtId="177" fontId="3" fillId="0" borderId="25" xfId="2" applyNumberFormat="1" applyFont="1" applyFill="1" applyBorder="1" applyAlignment="1">
      <alignment horizontal="right" vertical="center" justifyLastLine="1"/>
    </xf>
    <xf numFmtId="176" fontId="3" fillId="0" borderId="0" xfId="2" applyNumberFormat="1" applyFont="1" applyFill="1" applyBorder="1" applyAlignment="1">
      <alignment horizontal="right" vertical="center" justifyLastLine="1"/>
    </xf>
    <xf numFmtId="0" fontId="3" fillId="0" borderId="26" xfId="2" applyFont="1" applyBorder="1" applyAlignment="1">
      <alignment horizontal="distributed" vertical="center" justifyLastLine="1"/>
    </xf>
    <xf numFmtId="176" fontId="3" fillId="0" borderId="27" xfId="2" applyNumberFormat="1" applyFont="1" applyFill="1" applyBorder="1" applyAlignment="1">
      <alignment horizontal="right" vertical="center" justifyLastLine="1"/>
    </xf>
    <xf numFmtId="177" fontId="3" fillId="0" borderId="28" xfId="2" applyNumberFormat="1" applyFont="1" applyFill="1" applyBorder="1" applyAlignment="1">
      <alignment horizontal="right" vertical="center" justifyLastLine="1"/>
    </xf>
    <xf numFmtId="177" fontId="3" fillId="0" borderId="29" xfId="2" applyNumberFormat="1" applyFont="1" applyFill="1" applyBorder="1" applyAlignment="1">
      <alignment horizontal="right" vertical="center" justifyLastLine="1"/>
    </xf>
    <xf numFmtId="176" fontId="3" fillId="0" borderId="30" xfId="2" applyNumberFormat="1" applyFont="1" applyFill="1" applyBorder="1" applyAlignment="1">
      <alignment horizontal="right" vertical="center" justifyLastLine="1"/>
    </xf>
    <xf numFmtId="177" fontId="3" fillId="0" borderId="31" xfId="2" applyNumberFormat="1" applyFont="1" applyFill="1" applyBorder="1" applyAlignment="1">
      <alignment horizontal="right" vertical="center" justifyLastLine="1"/>
    </xf>
    <xf numFmtId="177" fontId="3" fillId="0" borderId="32" xfId="2" applyNumberFormat="1" applyFont="1" applyFill="1" applyBorder="1" applyAlignment="1">
      <alignment horizontal="right" vertical="center" justifyLastLine="1"/>
    </xf>
    <xf numFmtId="176" fontId="3" fillId="0" borderId="33" xfId="2" applyNumberFormat="1" applyFont="1" applyFill="1" applyBorder="1" applyAlignment="1">
      <alignment horizontal="right" vertical="center" justifyLastLine="1"/>
    </xf>
    <xf numFmtId="177" fontId="3" fillId="0" borderId="34" xfId="2" applyNumberFormat="1" applyFont="1" applyFill="1" applyBorder="1" applyAlignment="1">
      <alignment horizontal="right" vertical="center" justifyLastLine="1"/>
    </xf>
    <xf numFmtId="0" fontId="3" fillId="0" borderId="9" xfId="2" applyFont="1" applyBorder="1" applyAlignment="1">
      <alignment horizontal="distributed" vertical="center" justifyLastLine="1"/>
    </xf>
    <xf numFmtId="176" fontId="3" fillId="2" borderId="10" xfId="2" applyNumberFormat="1" applyFont="1" applyFill="1" applyBorder="1" applyAlignment="1">
      <alignment horizontal="right" vertical="center" justifyLastLine="1"/>
    </xf>
    <xf numFmtId="177" fontId="3" fillId="2" borderId="35" xfId="1" applyNumberFormat="1" applyFont="1" applyFill="1" applyBorder="1" applyAlignment="1">
      <alignment horizontal="right" vertical="center" justifyLastLine="1"/>
    </xf>
    <xf numFmtId="177" fontId="3" fillId="2" borderId="36" xfId="1" applyNumberFormat="1" applyFont="1" applyFill="1" applyBorder="1" applyAlignment="1">
      <alignment horizontal="right" vertical="center" justifyLastLine="1"/>
    </xf>
    <xf numFmtId="176" fontId="3" fillId="2" borderId="37" xfId="2" applyNumberFormat="1" applyFont="1" applyFill="1" applyBorder="1" applyAlignment="1">
      <alignment horizontal="right" vertical="center" justifyLastLine="1"/>
    </xf>
    <xf numFmtId="177" fontId="3" fillId="2" borderId="38" xfId="1" applyNumberFormat="1" applyFont="1" applyFill="1" applyBorder="1" applyAlignment="1">
      <alignment horizontal="right" vertical="center" justifyLastLine="1"/>
    </xf>
    <xf numFmtId="177" fontId="3" fillId="2" borderId="39" xfId="1" applyNumberFormat="1" applyFont="1" applyFill="1" applyBorder="1" applyAlignment="1">
      <alignment horizontal="right" vertical="center" justifyLastLine="1"/>
    </xf>
    <xf numFmtId="176" fontId="3" fillId="2" borderId="40" xfId="2" applyNumberFormat="1" applyFont="1" applyFill="1" applyBorder="1" applyAlignment="1">
      <alignment horizontal="right" vertical="center" justifyLastLine="1"/>
    </xf>
    <xf numFmtId="177" fontId="3" fillId="2" borderId="41" xfId="1" applyNumberFormat="1" applyFont="1" applyFill="1" applyBorder="1" applyAlignment="1">
      <alignment horizontal="right" vertical="center" justifyLastLine="1"/>
    </xf>
    <xf numFmtId="177" fontId="3" fillId="2" borderId="42" xfId="1" applyNumberFormat="1" applyFont="1" applyFill="1" applyBorder="1" applyAlignment="1">
      <alignment horizontal="right" vertical="center" justifyLastLine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distributed" vertical="center" justifyLastLine="1"/>
    </xf>
    <xf numFmtId="0" fontId="8" fillId="0" borderId="0" xfId="2" applyFont="1" applyAlignment="1"/>
    <xf numFmtId="0" fontId="3" fillId="0" borderId="3" xfId="2" applyFont="1" applyBorder="1" applyAlignment="1">
      <alignment horizontal="distributed" vertical="center" justifyLastLine="1"/>
    </xf>
    <xf numFmtId="0" fontId="2" fillId="0" borderId="3" xfId="2" applyFont="1" applyBorder="1" applyAlignment="1">
      <alignment horizontal="distributed" vertical="center" justifyLastLine="1"/>
    </xf>
    <xf numFmtId="0" fontId="2" fillId="0" borderId="8" xfId="2" applyFont="1" applyBorder="1" applyAlignment="1">
      <alignment horizontal="distributed" vertical="center" justifyLastLine="1"/>
    </xf>
    <xf numFmtId="0" fontId="8" fillId="0" borderId="0" xfId="2" applyFont="1" applyAlignment="1">
      <alignment horizontal="center"/>
    </xf>
    <xf numFmtId="0" fontId="5" fillId="0" borderId="0" xfId="2" applyFont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9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5" xfId="2" applyFont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/>
    </xf>
    <xf numFmtId="0" fontId="0" fillId="0" borderId="6" xfId="0" applyBorder="1" applyAlignment="1">
      <alignment horizontal="distributed"/>
    </xf>
    <xf numFmtId="0" fontId="3" fillId="0" borderId="7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5" xfId="2" applyFont="1" applyBorder="1" applyAlignment="1">
      <alignment horizontal="distributed" vertical="center" justifyLastLine="1"/>
    </xf>
    <xf numFmtId="0" fontId="3" fillId="0" borderId="6" xfId="2" applyFont="1" applyBorder="1" applyAlignment="1">
      <alignment horizontal="distributed" vertical="center" justifyLastLine="1"/>
    </xf>
  </cellXfs>
  <cellStyles count="3">
    <cellStyle name="パーセント" xfId="1" builtinId="5"/>
    <cellStyle name="標準" xfId="0" builtinId="0"/>
    <cellStyle name="標準_ｐ２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14"/>
  <sheetViews>
    <sheetView tabSelected="1" view="pageBreakPreview" zoomScale="60" zoomScaleNormal="100" workbookViewId="0">
      <selection activeCell="B3" sqref="B3"/>
    </sheetView>
  </sheetViews>
  <sheetFormatPr defaultRowHeight="13.2" x14ac:dyDescent="0.2"/>
  <cols>
    <col min="2" max="22" width="7.6640625" customWidth="1"/>
    <col min="253" max="253" width="4.21875" customWidth="1"/>
    <col min="255" max="275" width="7.6640625" customWidth="1"/>
    <col min="509" max="509" width="4.21875" customWidth="1"/>
    <col min="511" max="531" width="7.6640625" customWidth="1"/>
    <col min="765" max="765" width="4.21875" customWidth="1"/>
    <col min="767" max="787" width="7.6640625" customWidth="1"/>
    <col min="1021" max="1021" width="4.21875" customWidth="1"/>
    <col min="1023" max="1043" width="7.6640625" customWidth="1"/>
    <col min="1277" max="1277" width="4.21875" customWidth="1"/>
    <col min="1279" max="1299" width="7.6640625" customWidth="1"/>
    <col min="1533" max="1533" width="4.21875" customWidth="1"/>
    <col min="1535" max="1555" width="7.6640625" customWidth="1"/>
    <col min="1789" max="1789" width="4.21875" customWidth="1"/>
    <col min="1791" max="1811" width="7.6640625" customWidth="1"/>
    <col min="2045" max="2045" width="4.21875" customWidth="1"/>
    <col min="2047" max="2067" width="7.6640625" customWidth="1"/>
    <col min="2301" max="2301" width="4.21875" customWidth="1"/>
    <col min="2303" max="2323" width="7.6640625" customWidth="1"/>
    <col min="2557" max="2557" width="4.21875" customWidth="1"/>
    <col min="2559" max="2579" width="7.6640625" customWidth="1"/>
    <col min="2813" max="2813" width="4.21875" customWidth="1"/>
    <col min="2815" max="2835" width="7.6640625" customWidth="1"/>
    <col min="3069" max="3069" width="4.21875" customWidth="1"/>
    <col min="3071" max="3091" width="7.6640625" customWidth="1"/>
    <col min="3325" max="3325" width="4.21875" customWidth="1"/>
    <col min="3327" max="3347" width="7.6640625" customWidth="1"/>
    <col min="3581" max="3581" width="4.21875" customWidth="1"/>
    <col min="3583" max="3603" width="7.6640625" customWidth="1"/>
    <col min="3837" max="3837" width="4.21875" customWidth="1"/>
    <col min="3839" max="3859" width="7.6640625" customWidth="1"/>
    <col min="4093" max="4093" width="4.21875" customWidth="1"/>
    <col min="4095" max="4115" width="7.6640625" customWidth="1"/>
    <col min="4349" max="4349" width="4.21875" customWidth="1"/>
    <col min="4351" max="4371" width="7.6640625" customWidth="1"/>
    <col min="4605" max="4605" width="4.21875" customWidth="1"/>
    <col min="4607" max="4627" width="7.6640625" customWidth="1"/>
    <col min="4861" max="4861" width="4.21875" customWidth="1"/>
    <col min="4863" max="4883" width="7.6640625" customWidth="1"/>
    <col min="5117" max="5117" width="4.21875" customWidth="1"/>
    <col min="5119" max="5139" width="7.6640625" customWidth="1"/>
    <col min="5373" max="5373" width="4.21875" customWidth="1"/>
    <col min="5375" max="5395" width="7.6640625" customWidth="1"/>
    <col min="5629" max="5629" width="4.21875" customWidth="1"/>
    <col min="5631" max="5651" width="7.6640625" customWidth="1"/>
    <col min="5885" max="5885" width="4.21875" customWidth="1"/>
    <col min="5887" max="5907" width="7.6640625" customWidth="1"/>
    <col min="6141" max="6141" width="4.21875" customWidth="1"/>
    <col min="6143" max="6163" width="7.6640625" customWidth="1"/>
    <col min="6397" max="6397" width="4.21875" customWidth="1"/>
    <col min="6399" max="6419" width="7.6640625" customWidth="1"/>
    <col min="6653" max="6653" width="4.21875" customWidth="1"/>
    <col min="6655" max="6675" width="7.6640625" customWidth="1"/>
    <col min="6909" max="6909" width="4.21875" customWidth="1"/>
    <col min="6911" max="6931" width="7.6640625" customWidth="1"/>
    <col min="7165" max="7165" width="4.21875" customWidth="1"/>
    <col min="7167" max="7187" width="7.6640625" customWidth="1"/>
    <col min="7421" max="7421" width="4.21875" customWidth="1"/>
    <col min="7423" max="7443" width="7.6640625" customWidth="1"/>
    <col min="7677" max="7677" width="4.21875" customWidth="1"/>
    <col min="7679" max="7699" width="7.6640625" customWidth="1"/>
    <col min="7933" max="7933" width="4.21875" customWidth="1"/>
    <col min="7935" max="7955" width="7.6640625" customWidth="1"/>
    <col min="8189" max="8189" width="4.21875" customWidth="1"/>
    <col min="8191" max="8211" width="7.6640625" customWidth="1"/>
    <col min="8445" max="8445" width="4.21875" customWidth="1"/>
    <col min="8447" max="8467" width="7.6640625" customWidth="1"/>
    <col min="8701" max="8701" width="4.21875" customWidth="1"/>
    <col min="8703" max="8723" width="7.6640625" customWidth="1"/>
    <col min="8957" max="8957" width="4.21875" customWidth="1"/>
    <col min="8959" max="8979" width="7.6640625" customWidth="1"/>
    <col min="9213" max="9213" width="4.21875" customWidth="1"/>
    <col min="9215" max="9235" width="7.6640625" customWidth="1"/>
    <col min="9469" max="9469" width="4.21875" customWidth="1"/>
    <col min="9471" max="9491" width="7.6640625" customWidth="1"/>
    <col min="9725" max="9725" width="4.21875" customWidth="1"/>
    <col min="9727" max="9747" width="7.6640625" customWidth="1"/>
    <col min="9981" max="9981" width="4.21875" customWidth="1"/>
    <col min="9983" max="10003" width="7.6640625" customWidth="1"/>
    <col min="10237" max="10237" width="4.21875" customWidth="1"/>
    <col min="10239" max="10259" width="7.6640625" customWidth="1"/>
    <col min="10493" max="10493" width="4.21875" customWidth="1"/>
    <col min="10495" max="10515" width="7.6640625" customWidth="1"/>
    <col min="10749" max="10749" width="4.21875" customWidth="1"/>
    <col min="10751" max="10771" width="7.6640625" customWidth="1"/>
    <col min="11005" max="11005" width="4.21875" customWidth="1"/>
    <col min="11007" max="11027" width="7.6640625" customWidth="1"/>
    <col min="11261" max="11261" width="4.21875" customWidth="1"/>
    <col min="11263" max="11283" width="7.6640625" customWidth="1"/>
    <col min="11517" max="11517" width="4.21875" customWidth="1"/>
    <col min="11519" max="11539" width="7.6640625" customWidth="1"/>
    <col min="11773" max="11773" width="4.21875" customWidth="1"/>
    <col min="11775" max="11795" width="7.6640625" customWidth="1"/>
    <col min="12029" max="12029" width="4.21875" customWidth="1"/>
    <col min="12031" max="12051" width="7.6640625" customWidth="1"/>
    <col min="12285" max="12285" width="4.21875" customWidth="1"/>
    <col min="12287" max="12307" width="7.6640625" customWidth="1"/>
    <col min="12541" max="12541" width="4.21875" customWidth="1"/>
    <col min="12543" max="12563" width="7.6640625" customWidth="1"/>
    <col min="12797" max="12797" width="4.21875" customWidth="1"/>
    <col min="12799" max="12819" width="7.6640625" customWidth="1"/>
    <col min="13053" max="13053" width="4.21875" customWidth="1"/>
    <col min="13055" max="13075" width="7.6640625" customWidth="1"/>
    <col min="13309" max="13309" width="4.21875" customWidth="1"/>
    <col min="13311" max="13331" width="7.6640625" customWidth="1"/>
    <col min="13565" max="13565" width="4.21875" customWidth="1"/>
    <col min="13567" max="13587" width="7.6640625" customWidth="1"/>
    <col min="13821" max="13821" width="4.21875" customWidth="1"/>
    <col min="13823" max="13843" width="7.6640625" customWidth="1"/>
    <col min="14077" max="14077" width="4.21875" customWidth="1"/>
    <col min="14079" max="14099" width="7.6640625" customWidth="1"/>
    <col min="14333" max="14333" width="4.21875" customWidth="1"/>
    <col min="14335" max="14355" width="7.6640625" customWidth="1"/>
    <col min="14589" max="14589" width="4.21875" customWidth="1"/>
    <col min="14591" max="14611" width="7.6640625" customWidth="1"/>
    <col min="14845" max="14845" width="4.21875" customWidth="1"/>
    <col min="14847" max="14867" width="7.6640625" customWidth="1"/>
    <col min="15101" max="15101" width="4.21875" customWidth="1"/>
    <col min="15103" max="15123" width="7.6640625" customWidth="1"/>
    <col min="15357" max="15357" width="4.21875" customWidth="1"/>
    <col min="15359" max="15379" width="7.6640625" customWidth="1"/>
    <col min="15613" max="15613" width="4.21875" customWidth="1"/>
    <col min="15615" max="15635" width="7.6640625" customWidth="1"/>
    <col min="15869" max="15869" width="4.21875" customWidth="1"/>
    <col min="15871" max="15891" width="7.6640625" customWidth="1"/>
    <col min="16125" max="16125" width="4.21875" customWidth="1"/>
    <col min="16127" max="16147" width="7.6640625" customWidth="1"/>
  </cols>
  <sheetData>
    <row r="1" spans="1:60" s="2" customFormat="1" ht="13.5" customHeight="1" x14ac:dyDescent="0.3">
      <c r="A1" s="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</row>
    <row r="2" spans="1:60" s="2" customFormat="1" ht="17.25" customHeight="1" x14ac:dyDescent="0.3">
      <c r="A2" s="1"/>
      <c r="B2" s="59" t="s">
        <v>21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3"/>
      <c r="T2" s="4"/>
      <c r="U2" s="4"/>
      <c r="V2" s="5" t="s">
        <v>0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</row>
    <row r="3" spans="1:60" s="2" customFormat="1" ht="13.8" thickBot="1" x14ac:dyDescent="0.25">
      <c r="A3" s="1"/>
      <c r="T3" s="4"/>
      <c r="U3" s="4" t="s">
        <v>1</v>
      </c>
      <c r="V3" s="4"/>
    </row>
    <row r="4" spans="1:60" s="51" customFormat="1" ht="20.25" customHeight="1" x14ac:dyDescent="0.2">
      <c r="A4" s="60" t="s">
        <v>2</v>
      </c>
      <c r="B4" s="62" t="s">
        <v>3</v>
      </c>
      <c r="C4" s="55"/>
      <c r="D4" s="63"/>
      <c r="E4" s="64" t="s">
        <v>4</v>
      </c>
      <c r="F4" s="65"/>
      <c r="G4" s="66"/>
      <c r="H4" s="67" t="s">
        <v>5</v>
      </c>
      <c r="I4" s="55"/>
      <c r="J4" s="68"/>
      <c r="K4" s="62" t="s">
        <v>6</v>
      </c>
      <c r="L4" s="55"/>
      <c r="M4" s="63"/>
      <c r="N4" s="69" t="s">
        <v>7</v>
      </c>
      <c r="O4" s="55"/>
      <c r="P4" s="70"/>
      <c r="Q4" s="67" t="s">
        <v>5</v>
      </c>
      <c r="R4" s="55"/>
      <c r="S4" s="70"/>
      <c r="T4" s="55" t="s">
        <v>8</v>
      </c>
      <c r="U4" s="56"/>
      <c r="V4" s="57"/>
    </row>
    <row r="5" spans="1:60" s="52" customFormat="1" ht="14.25" customHeight="1" thickBot="1" x14ac:dyDescent="0.25">
      <c r="A5" s="61"/>
      <c r="B5" s="6"/>
      <c r="C5" s="7" t="s">
        <v>9</v>
      </c>
      <c r="D5" s="8" t="s">
        <v>10</v>
      </c>
      <c r="E5" s="9"/>
      <c r="F5" s="7" t="s">
        <v>9</v>
      </c>
      <c r="G5" s="10" t="s">
        <v>10</v>
      </c>
      <c r="H5" s="9"/>
      <c r="I5" s="7" t="s">
        <v>9</v>
      </c>
      <c r="J5" s="11" t="s">
        <v>10</v>
      </c>
      <c r="K5" s="6"/>
      <c r="L5" s="7" t="s">
        <v>9</v>
      </c>
      <c r="M5" s="8" t="s">
        <v>10</v>
      </c>
      <c r="N5" s="9"/>
      <c r="O5" s="7" t="s">
        <v>9</v>
      </c>
      <c r="P5" s="10" t="s">
        <v>10</v>
      </c>
      <c r="Q5" s="9"/>
      <c r="R5" s="7" t="s">
        <v>9</v>
      </c>
      <c r="S5" s="10" t="s">
        <v>10</v>
      </c>
      <c r="T5" s="9"/>
      <c r="U5" s="12" t="s">
        <v>11</v>
      </c>
      <c r="V5" s="11" t="s">
        <v>10</v>
      </c>
    </row>
    <row r="6" spans="1:60" s="53" customFormat="1" ht="20.100000000000001" customHeight="1" x14ac:dyDescent="0.2">
      <c r="A6" s="13" t="s">
        <v>12</v>
      </c>
      <c r="B6" s="14">
        <v>4996.4919</v>
      </c>
      <c r="C6" s="15">
        <f>B6/4590.1566</f>
        <v>1.0885231889474096</v>
      </c>
      <c r="D6" s="16">
        <f>B6/4887.6153</f>
        <v>1.0222760166905933</v>
      </c>
      <c r="E6" s="17">
        <v>6093.2655999999997</v>
      </c>
      <c r="F6" s="15">
        <f>E6/5342.5287</f>
        <v>1.1405208922883279</v>
      </c>
      <c r="G6" s="18">
        <f>E6/5926.959</f>
        <v>1.0280593471289408</v>
      </c>
      <c r="H6" s="17">
        <f>SUM(B6,E6)</f>
        <v>11089.7575</v>
      </c>
      <c r="I6" s="15">
        <f>H6/9932.6853</f>
        <v>1.1164913782177315</v>
      </c>
      <c r="J6" s="19">
        <f>H6/10814.5743</f>
        <v>1.0254455878119955</v>
      </c>
      <c r="K6" s="14">
        <v>624.98739999999998</v>
      </c>
      <c r="L6" s="15">
        <f>K6/592.3512</f>
        <v>1.0550960308681743</v>
      </c>
      <c r="M6" s="16">
        <f>K6/663.387</f>
        <v>0.94211583886931771</v>
      </c>
      <c r="N6" s="17">
        <v>168.39060000000001</v>
      </c>
      <c r="O6" s="15">
        <f>N6/138.5761</f>
        <v>1.2151489326081482</v>
      </c>
      <c r="P6" s="18">
        <f>N6/125.6548</f>
        <v>1.3401047950416538</v>
      </c>
      <c r="Q6" s="17">
        <f>SUM(K6,N6)</f>
        <v>793.37799999999993</v>
      </c>
      <c r="R6" s="15">
        <f>Q6/730.9273</f>
        <v>1.0854403714295526</v>
      </c>
      <c r="S6" s="18">
        <f>Q6/789.0418</f>
        <v>1.0054955263460059</v>
      </c>
      <c r="T6" s="17">
        <f>SUM(H6,Q6)</f>
        <v>11883.1355</v>
      </c>
      <c r="U6" s="20">
        <f>T6/10663.6126</f>
        <v>1.1143630161508304</v>
      </c>
      <c r="V6" s="19">
        <f>T6/11603.6161</f>
        <v>1.0240889906724853</v>
      </c>
    </row>
    <row r="7" spans="1:60" s="53" customFormat="1" ht="20.100000000000001" customHeight="1" x14ac:dyDescent="0.2">
      <c r="A7" s="21" t="s">
        <v>13</v>
      </c>
      <c r="B7" s="22">
        <v>7016.2992000000004</v>
      </c>
      <c r="C7" s="23">
        <f>B7/6871.5709</f>
        <v>1.021061894304256</v>
      </c>
      <c r="D7" s="24">
        <f>B7/7153.4352</f>
        <v>0.98082935035184227</v>
      </c>
      <c r="E7" s="25">
        <v>5439.0784000000003</v>
      </c>
      <c r="F7" s="23">
        <f>E7/5533.7209</f>
        <v>0.98289713165692905</v>
      </c>
      <c r="G7" s="26">
        <f>E7/5885.6167</f>
        <v>0.9241305843107317</v>
      </c>
      <c r="H7" s="25">
        <f t="shared" ref="H7:H13" si="0">SUM(B7,E7)</f>
        <v>12455.3776</v>
      </c>
      <c r="I7" s="23">
        <f>H7/12405.2918</f>
        <v>1.0040374544031281</v>
      </c>
      <c r="J7" s="27">
        <f>H7/13039.0519</f>
        <v>0.95523644629407445</v>
      </c>
      <c r="K7" s="22">
        <v>657.84310000000005</v>
      </c>
      <c r="L7" s="23">
        <f>K7/581.8308</f>
        <v>1.1306433072982731</v>
      </c>
      <c r="M7" s="24">
        <f>K7/575.3884</f>
        <v>1.1433026804155246</v>
      </c>
      <c r="N7" s="25">
        <v>438.97550000000001</v>
      </c>
      <c r="O7" s="23">
        <f>N7/421.5528</f>
        <v>1.0413298168106107</v>
      </c>
      <c r="P7" s="26">
        <f>N7/412.4424</f>
        <v>1.0643316497042981</v>
      </c>
      <c r="Q7" s="25">
        <f t="shared" ref="Q7:Q13" si="1">SUM(K7,N7)</f>
        <v>1096.8186000000001</v>
      </c>
      <c r="R7" s="23">
        <f>Q7/1003.3836</f>
        <v>1.093119919440581</v>
      </c>
      <c r="S7" s="26">
        <f>Q7/987.8308</f>
        <v>1.1103304331065604</v>
      </c>
      <c r="T7" s="25">
        <f t="shared" ref="T7:T13" si="2">SUM(H7,Q7)</f>
        <v>13552.1962</v>
      </c>
      <c r="U7" s="28">
        <f>T7/13408.6754</f>
        <v>1.0107035777747293</v>
      </c>
      <c r="V7" s="27">
        <f>T7/14026.8827</f>
        <v>0.96615880305322577</v>
      </c>
    </row>
    <row r="8" spans="1:60" s="53" customFormat="1" ht="20.100000000000001" customHeight="1" x14ac:dyDescent="0.2">
      <c r="A8" s="21" t="s">
        <v>14</v>
      </c>
      <c r="B8" s="14">
        <v>1544.7840000000001</v>
      </c>
      <c r="C8" s="15">
        <f>B8/1504.8876</f>
        <v>1.0265112158542606</v>
      </c>
      <c r="D8" s="16">
        <f>B8/1559.3133</f>
        <v>0.99068224454957199</v>
      </c>
      <c r="E8" s="17">
        <v>446.24380000000002</v>
      </c>
      <c r="F8" s="15">
        <f>E8/543.5028</f>
        <v>0.82105151988177438</v>
      </c>
      <c r="G8" s="18">
        <f>E8/566.9911</f>
        <v>0.78703845615918844</v>
      </c>
      <c r="H8" s="17">
        <f t="shared" si="0"/>
        <v>1991.0278000000001</v>
      </c>
      <c r="I8" s="15">
        <f>H8/2048.3904</f>
        <v>0.97199625618241514</v>
      </c>
      <c r="J8" s="19">
        <f>H8/2126.3044</f>
        <v>0.9363794760524411</v>
      </c>
      <c r="K8" s="14">
        <v>259.7106</v>
      </c>
      <c r="L8" s="15">
        <f>K8/252.3206</f>
        <v>1.0292881358081742</v>
      </c>
      <c r="M8" s="16">
        <f>K8/257.4207</f>
        <v>1.008895555019468</v>
      </c>
      <c r="N8" s="17">
        <v>113.08929999999999</v>
      </c>
      <c r="O8" s="15">
        <f>N8/117.9883</f>
        <v>0.95847893392819461</v>
      </c>
      <c r="P8" s="18">
        <f>N8/161.2587</f>
        <v>0.70129115514387741</v>
      </c>
      <c r="Q8" s="17">
        <f t="shared" si="1"/>
        <v>372.79989999999998</v>
      </c>
      <c r="R8" s="15">
        <f>Q8/370.3089</f>
        <v>1.0067268164497261</v>
      </c>
      <c r="S8" s="18">
        <f>Q8/418.6794</f>
        <v>0.89041853981829533</v>
      </c>
      <c r="T8" s="17">
        <f t="shared" si="2"/>
        <v>2363.8276999999998</v>
      </c>
      <c r="U8" s="20">
        <f>T8/2418.6993</f>
        <v>0.97731359164820508</v>
      </c>
      <c r="V8" s="19">
        <f>T8/2544.9838</f>
        <v>0.92881836811692076</v>
      </c>
    </row>
    <row r="9" spans="1:60" s="53" customFormat="1" ht="20.100000000000001" customHeight="1" x14ac:dyDescent="0.2">
      <c r="A9" s="29" t="s">
        <v>15</v>
      </c>
      <c r="B9" s="22">
        <v>33.197099999999999</v>
      </c>
      <c r="C9" s="23">
        <f>B9/55.5451</f>
        <v>0.59766027966463287</v>
      </c>
      <c r="D9" s="24">
        <f>B9/7.1734</f>
        <v>4.6278055036663224</v>
      </c>
      <c r="E9" s="25">
        <v>1.4605999999999999</v>
      </c>
      <c r="F9" s="23">
        <f>E9/29.9465</f>
        <v>4.8773646335965801E-2</v>
      </c>
      <c r="G9" s="26">
        <f>E9/73.7261</f>
        <v>1.9811165923601003E-2</v>
      </c>
      <c r="H9" s="25">
        <f t="shared" si="0"/>
        <v>34.657699999999998</v>
      </c>
      <c r="I9" s="23">
        <f>H9/85.4916</f>
        <v>0.40539304446284774</v>
      </c>
      <c r="J9" s="27">
        <f>H9/80.8995</f>
        <v>0.42840437827180633</v>
      </c>
      <c r="K9" s="22">
        <v>223.03880000000001</v>
      </c>
      <c r="L9" s="23">
        <f>K9/262.8843</f>
        <v>0.84842951823292612</v>
      </c>
      <c r="M9" s="24">
        <f>K9/330.464</f>
        <v>0.67492616442335629</v>
      </c>
      <c r="N9" s="25">
        <v>244.8578</v>
      </c>
      <c r="O9" s="23">
        <f>N9/253.7811</f>
        <v>0.96483859515149073</v>
      </c>
      <c r="P9" s="26">
        <f>N9/319.8636</f>
        <v>0.76550692232564121</v>
      </c>
      <c r="Q9" s="25">
        <f t="shared" si="1"/>
        <v>467.89660000000003</v>
      </c>
      <c r="R9" s="23">
        <f>Q9/516.6654</f>
        <v>0.90560854278223402</v>
      </c>
      <c r="S9" s="30">
        <f>Q9/650.3276</f>
        <v>0.71947830601069374</v>
      </c>
      <c r="T9" s="31">
        <f t="shared" si="2"/>
        <v>502.55430000000001</v>
      </c>
      <c r="U9" s="28">
        <f>T9/602.157</f>
        <v>0.83459014841644286</v>
      </c>
      <c r="V9" s="27">
        <f>T9/731.2271</f>
        <v>0.68727526646646442</v>
      </c>
    </row>
    <row r="10" spans="1:60" s="53" customFormat="1" ht="20.100000000000001" customHeight="1" x14ac:dyDescent="0.2">
      <c r="A10" s="21" t="s">
        <v>16</v>
      </c>
      <c r="B10" s="14">
        <v>1936.0981999999999</v>
      </c>
      <c r="C10" s="15">
        <f>B10/1905.6818</f>
        <v>1.0159609017622984</v>
      </c>
      <c r="D10" s="16">
        <f>B10/1890.2264</f>
        <v>1.0242678866404573</v>
      </c>
      <c r="E10" s="17">
        <v>351.863</v>
      </c>
      <c r="F10" s="15">
        <f>E10/404.5865</f>
        <v>0.86968546899117993</v>
      </c>
      <c r="G10" s="18">
        <f>E10/436.8781</f>
        <v>0.80540315479306468</v>
      </c>
      <c r="H10" s="17">
        <f t="shared" si="0"/>
        <v>2287.9611999999997</v>
      </c>
      <c r="I10" s="15">
        <f>H10/2310.2683</f>
        <v>0.99034436822770744</v>
      </c>
      <c r="J10" s="19">
        <f>H10/2327.1045</f>
        <v>0.98317939740136284</v>
      </c>
      <c r="K10" s="14">
        <v>1334.4115999999999</v>
      </c>
      <c r="L10" s="15">
        <f>K10/1188.0082</f>
        <v>1.1232343345778253</v>
      </c>
      <c r="M10" s="16">
        <f>K10/1324.2462</f>
        <v>1.0076763671287106</v>
      </c>
      <c r="N10" s="17">
        <v>559.52949999999998</v>
      </c>
      <c r="O10" s="15">
        <f>N10/523.2512</f>
        <v>1.0693324735805669</v>
      </c>
      <c r="P10" s="18">
        <f>N10/580.1966</f>
        <v>0.96437914320766438</v>
      </c>
      <c r="Q10" s="17">
        <f t="shared" si="1"/>
        <v>1893.9411</v>
      </c>
      <c r="R10" s="15">
        <f>Q10/1711.2594</f>
        <v>1.1067527810219773</v>
      </c>
      <c r="S10" s="18">
        <f>Q10/1904.4428</f>
        <v>0.99448568368658796</v>
      </c>
      <c r="T10" s="17">
        <f t="shared" si="2"/>
        <v>4181.9022999999997</v>
      </c>
      <c r="U10" s="20">
        <f>T10/4021.5277</f>
        <v>1.0398790240833102</v>
      </c>
      <c r="V10" s="19">
        <f>T10/4231.5473</f>
        <v>0.98826788489401962</v>
      </c>
    </row>
    <row r="11" spans="1:60" s="53" customFormat="1" ht="20.100000000000001" customHeight="1" x14ac:dyDescent="0.2">
      <c r="A11" s="29" t="s">
        <v>17</v>
      </c>
      <c r="B11" s="22">
        <v>2020.9812999999999</v>
      </c>
      <c r="C11" s="23">
        <f>B11/1493.9312</f>
        <v>1.352794091187064</v>
      </c>
      <c r="D11" s="24">
        <f>B11/1777.9908</f>
        <v>1.1366657802728788</v>
      </c>
      <c r="E11" s="25">
        <v>321.221</v>
      </c>
      <c r="F11" s="23">
        <f>E11/236.4597</f>
        <v>1.3584598136595791</v>
      </c>
      <c r="G11" s="26">
        <f>E11/284.8174</f>
        <v>1.1278138203635031</v>
      </c>
      <c r="H11" s="25">
        <f t="shared" si="0"/>
        <v>2342.2022999999999</v>
      </c>
      <c r="I11" s="23">
        <f>H11/1730.3909</f>
        <v>1.3535683180025968</v>
      </c>
      <c r="J11" s="27">
        <f>H11/2062.8082</f>
        <v>1.1354435666873925</v>
      </c>
      <c r="K11" s="22">
        <v>151.69890000000001</v>
      </c>
      <c r="L11" s="23">
        <f>K11/151.6859</f>
        <v>1.0000857034173909</v>
      </c>
      <c r="M11" s="24">
        <f>K11/142.8251</f>
        <v>1.0621305358791979</v>
      </c>
      <c r="N11" s="25">
        <v>643.53210000000001</v>
      </c>
      <c r="O11" s="23">
        <f>N11/580.217</f>
        <v>1.1091231384120079</v>
      </c>
      <c r="P11" s="26">
        <f>N11/597.7514</f>
        <v>1.0765881936872084</v>
      </c>
      <c r="Q11" s="25">
        <f t="shared" si="1"/>
        <v>795.23099999999999</v>
      </c>
      <c r="R11" s="23">
        <f>Q11/731.9029</f>
        <v>1.0865252754156323</v>
      </c>
      <c r="S11" s="26">
        <f>Q11/740.5765</f>
        <v>1.0737999382913177</v>
      </c>
      <c r="T11" s="25">
        <f t="shared" si="2"/>
        <v>3137.4332999999997</v>
      </c>
      <c r="U11" s="28">
        <f>T11/2462.2938</f>
        <v>1.2741912845656354</v>
      </c>
      <c r="V11" s="27">
        <f>T11/2803.3847</f>
        <v>1.1191590294403759</v>
      </c>
    </row>
    <row r="12" spans="1:60" s="53" customFormat="1" ht="20.100000000000001" customHeight="1" x14ac:dyDescent="0.2">
      <c r="A12" s="21" t="s">
        <v>18</v>
      </c>
      <c r="B12" s="14">
        <v>2519.2995000000001</v>
      </c>
      <c r="C12" s="15">
        <f>B12/1986.0594</f>
        <v>1.2684915164168806</v>
      </c>
      <c r="D12" s="16">
        <f>B12/2491.3534</f>
        <v>1.0112172363824419</v>
      </c>
      <c r="E12" s="17">
        <v>489.34070000000003</v>
      </c>
      <c r="F12" s="15">
        <f>E12/234.1595</f>
        <v>2.0897751319079516</v>
      </c>
      <c r="G12" s="18">
        <f>E12/391.4272</f>
        <v>1.2501448545221181</v>
      </c>
      <c r="H12" s="17">
        <f t="shared" si="0"/>
        <v>3008.6402000000003</v>
      </c>
      <c r="I12" s="15">
        <f>H12/2220.2189</f>
        <v>1.3551097146321927</v>
      </c>
      <c r="J12" s="19">
        <f>H12/2882.7806</f>
        <v>1.0436590977475013</v>
      </c>
      <c r="K12" s="14">
        <v>211.9084</v>
      </c>
      <c r="L12" s="15">
        <f>K12/144.294</f>
        <v>1.4685877444661593</v>
      </c>
      <c r="M12" s="16">
        <f>K12/187.4043</f>
        <v>1.1307552708235618</v>
      </c>
      <c r="N12" s="17">
        <v>372.25979999999998</v>
      </c>
      <c r="O12" s="15">
        <f>N12/297.6564</f>
        <v>1.2506359681834489</v>
      </c>
      <c r="P12" s="18">
        <f>N12/396.3822</f>
        <v>0.93914358414681576</v>
      </c>
      <c r="Q12" s="17">
        <f t="shared" si="1"/>
        <v>584.16819999999996</v>
      </c>
      <c r="R12" s="15">
        <f>Q12/441.9504</f>
        <v>1.321795839533124</v>
      </c>
      <c r="S12" s="18">
        <f>Q12/583.7865</f>
        <v>1.0006538349208143</v>
      </c>
      <c r="T12" s="17">
        <f t="shared" si="2"/>
        <v>3592.8084000000003</v>
      </c>
      <c r="U12" s="20">
        <f>T12/2662.1693</f>
        <v>1.3495792322449216</v>
      </c>
      <c r="V12" s="19">
        <f>T12/3466.5671</f>
        <v>1.0364168055480594</v>
      </c>
    </row>
    <row r="13" spans="1:60" s="53" customFormat="1" ht="20.100000000000001" customHeight="1" thickBot="1" x14ac:dyDescent="0.25">
      <c r="A13" s="32" t="s">
        <v>19</v>
      </c>
      <c r="B13" s="33">
        <v>33.595799999999997</v>
      </c>
      <c r="C13" s="34">
        <f>B13/28.6451</f>
        <v>1.1728288607824724</v>
      </c>
      <c r="D13" s="35">
        <f>B13/27.6273</f>
        <v>1.2160363119088726</v>
      </c>
      <c r="E13" s="36">
        <v>1.8689</v>
      </c>
      <c r="F13" s="34">
        <f>E13/8.2792</f>
        <v>0.22573437047057687</v>
      </c>
      <c r="G13" s="37">
        <f>E13/3.432</f>
        <v>0.54455128205128212</v>
      </c>
      <c r="H13" s="36">
        <f t="shared" si="0"/>
        <v>35.464699999999993</v>
      </c>
      <c r="I13" s="34">
        <f>H13/36.9243</f>
        <v>0.9604704760821462</v>
      </c>
      <c r="J13" s="38">
        <f>H13/31.0593</f>
        <v>1.14183835437373</v>
      </c>
      <c r="K13" s="33">
        <v>170.29349999999999</v>
      </c>
      <c r="L13" s="34">
        <f>K13/182.4942</f>
        <v>0.93314472459946662</v>
      </c>
      <c r="M13" s="35">
        <f>K13/179.646</f>
        <v>0.94793928058515087</v>
      </c>
      <c r="N13" s="36">
        <v>68.730099999999993</v>
      </c>
      <c r="O13" s="34">
        <f>N13/69.4169</f>
        <v>0.99010615570559901</v>
      </c>
      <c r="P13" s="37">
        <f>N13/68.4556</f>
        <v>1.0040098983866914</v>
      </c>
      <c r="Q13" s="36">
        <f t="shared" si="1"/>
        <v>239.02359999999999</v>
      </c>
      <c r="R13" s="34">
        <f>Q13/251.9111</f>
        <v>0.9488410792537525</v>
      </c>
      <c r="S13" s="37">
        <f>Q13/248.1016</f>
        <v>0.96341015132510233</v>
      </c>
      <c r="T13" s="39">
        <f t="shared" si="2"/>
        <v>274.48829999999998</v>
      </c>
      <c r="U13" s="40">
        <f>T13/288.8354</f>
        <v>0.9503277645330177</v>
      </c>
      <c r="V13" s="38">
        <f>T13/279.1609</f>
        <v>0.98326198260573006</v>
      </c>
    </row>
    <row r="14" spans="1:60" s="53" customFormat="1" ht="20.100000000000001" customHeight="1" thickTop="1" thickBot="1" x14ac:dyDescent="0.25">
      <c r="A14" s="41" t="s">
        <v>20</v>
      </c>
      <c r="B14" s="42">
        <f>SUM(B6:B13)</f>
        <v>20100.746999999999</v>
      </c>
      <c r="C14" s="43">
        <f>B14/18436.4777</f>
        <v>1.0902704587655592</v>
      </c>
      <c r="D14" s="44">
        <f>B14/19794.7351</f>
        <v>1.0154592571435825</v>
      </c>
      <c r="E14" s="45">
        <f>SUM(E6:E13)</f>
        <v>13144.342000000001</v>
      </c>
      <c r="F14" s="43">
        <f>E14/12333.1838</f>
        <v>1.0657703812052164</v>
      </c>
      <c r="G14" s="46">
        <f>E14/13569.8476</f>
        <v>0.96864330296531864</v>
      </c>
      <c r="H14" s="45">
        <f>SUM(H6:H13)</f>
        <v>33245.088999999993</v>
      </c>
      <c r="I14" s="43">
        <f>H14/30769.6615</f>
        <v>1.0804502675468171</v>
      </c>
      <c r="J14" s="47">
        <f>H14/33364.5826</f>
        <v>0.99641854953102249</v>
      </c>
      <c r="K14" s="42">
        <f>SUM(K6:K13)</f>
        <v>3633.8922999999995</v>
      </c>
      <c r="L14" s="43">
        <f>K14/3355.8692</f>
        <v>1.0828468225162051</v>
      </c>
      <c r="M14" s="44">
        <f>K14/3660.7817</f>
        <v>0.99265473819430405</v>
      </c>
      <c r="N14" s="45">
        <f>SUM(N6:N13)</f>
        <v>2609.3647000000001</v>
      </c>
      <c r="O14" s="43">
        <f>N14/2402.4398</f>
        <v>1.0861311488429388</v>
      </c>
      <c r="P14" s="46">
        <f>N14/2662.0053</f>
        <v>0.98022520841712835</v>
      </c>
      <c r="Q14" s="45">
        <f>SUM(Q6:Q13)</f>
        <v>6243.2569999999996</v>
      </c>
      <c r="R14" s="43">
        <f>Q14/5758.309</f>
        <v>1.0842170852588842</v>
      </c>
      <c r="S14" s="46">
        <f>Q14/6322.787</f>
        <v>0.98742168603813463</v>
      </c>
      <c r="T14" s="48">
        <f>SUM(T6:T13)</f>
        <v>39488.345999999998</v>
      </c>
      <c r="U14" s="49">
        <f>T14/36527.9705</f>
        <v>1.0810440727880022</v>
      </c>
      <c r="V14" s="50">
        <f>T14/39687.3696</f>
        <v>0.99498521564906128</v>
      </c>
    </row>
  </sheetData>
  <mergeCells count="10">
    <mergeCell ref="T4:V4"/>
    <mergeCell ref="AO1:BH2"/>
    <mergeCell ref="B2:R2"/>
    <mergeCell ref="A4:A5"/>
    <mergeCell ref="B4:D4"/>
    <mergeCell ref="E4:G4"/>
    <mergeCell ref="H4:J4"/>
    <mergeCell ref="K4:M4"/>
    <mergeCell ref="N4:P4"/>
    <mergeCell ref="Q4:S4"/>
  </mergeCells>
  <phoneticPr fontId="6"/>
  <pageMargins left="0.7" right="0.7" top="0.75" bottom="0.75" header="0.3" footer="0.3"/>
  <pageSetup paperSize="9" scale="79" orientation="landscape" r:id="rId1"/>
  <colBreaks count="1" manualBreakCount="1">
    <brk id="22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輸移出入別</vt:lpstr>
      <vt:lpstr>輸移出入別!Print_Area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2022-11-25T06:40:13Z</dcterms:modified>
</cp:coreProperties>
</file>