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updateLinks="never" defaultThemeVersion="124226"/>
  <xr:revisionPtr revIDLastSave="0" documentId="13_ncr:1_{09D806E9-40F2-4F73-B3BB-0311096711B6}" xr6:coauthVersionLast="47" xr6:coauthVersionMax="47" xr10:uidLastSave="{00000000-0000-0000-0000-000000000000}"/>
  <bookViews>
    <workbookView xWindow="28965" yWindow="1785" windowWidth="12735" windowHeight="11220" xr2:uid="{00000000-000D-0000-FFFF-FFFF00000000}"/>
  </bookViews>
  <sheets>
    <sheet name="主要品目" sheetId="1" r:id="rId1"/>
  </sheets>
  <externalReferences>
    <externalReference r:id="rId2"/>
  </externalReferences>
  <definedNames>
    <definedName name="_xlnm.Print_Area" localSheetId="0">主要品目!$A$1:$V$11</definedName>
    <definedName name="順位" comment="P1以降の順位表示をする数式に必要">[1]輸移出入別!$H$12:$I$19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P10" i="1" l="1"/>
  <c r="P9" i="1"/>
  <c r="P8" i="1"/>
  <c r="P7" i="1"/>
  <c r="P6" i="1"/>
  <c r="M10" i="1"/>
  <c r="M9" i="1"/>
  <c r="M8" i="1"/>
  <c r="M7" i="1"/>
  <c r="M6" i="1"/>
  <c r="J7" i="1"/>
  <c r="G10" i="1"/>
  <c r="G9" i="1"/>
  <c r="G8" i="1"/>
  <c r="G6" i="1"/>
  <c r="D10" i="1"/>
  <c r="D9" i="1"/>
  <c r="D8" i="1"/>
  <c r="D7" i="1"/>
  <c r="D6" i="1"/>
  <c r="T7" i="1"/>
  <c r="V7" i="1" s="1"/>
  <c r="T9" i="1"/>
  <c r="V9" i="1" s="1"/>
  <c r="O10" i="1"/>
  <c r="O9" i="1"/>
  <c r="O8" i="1"/>
  <c r="O7" i="1"/>
  <c r="O6" i="1"/>
  <c r="L10" i="1"/>
  <c r="L9" i="1"/>
  <c r="L8" i="1"/>
  <c r="L7" i="1"/>
  <c r="L6" i="1"/>
  <c r="F11" i="1"/>
  <c r="F10" i="1"/>
  <c r="F9" i="1"/>
  <c r="F8" i="1"/>
  <c r="F6" i="1"/>
  <c r="C10" i="1"/>
  <c r="C9" i="1"/>
  <c r="C8" i="1"/>
  <c r="C7" i="1"/>
  <c r="C6" i="1"/>
  <c r="Q10" i="1"/>
  <c r="R10" i="1" s="1"/>
  <c r="Q9" i="1"/>
  <c r="R9" i="1" s="1"/>
  <c r="Q8" i="1"/>
  <c r="R8" i="1" s="1"/>
  <c r="Q7" i="1"/>
  <c r="S7" i="1" s="1"/>
  <c r="Q6" i="1"/>
  <c r="R6" i="1" s="1"/>
  <c r="H9" i="1"/>
  <c r="J9" i="1" s="1"/>
  <c r="H8" i="1"/>
  <c r="J8" i="1" s="1"/>
  <c r="H7" i="1"/>
  <c r="I7" i="1" s="1"/>
  <c r="H6" i="1"/>
  <c r="J6" i="1" s="1"/>
  <c r="H10" i="1"/>
  <c r="J10" i="1" s="1"/>
  <c r="N11" i="1"/>
  <c r="P11" i="1" s="1"/>
  <c r="K11" i="1"/>
  <c r="M11" i="1" s="1"/>
  <c r="G11" i="1"/>
  <c r="B11" i="1"/>
  <c r="C11" i="1" s="1"/>
  <c r="T8" i="1" l="1"/>
  <c r="V8" i="1" s="1"/>
  <c r="T6" i="1"/>
  <c r="V6" i="1" s="1"/>
  <c r="R7" i="1"/>
  <c r="L11" i="1"/>
  <c r="S6" i="1"/>
  <c r="S8" i="1"/>
  <c r="S9" i="1"/>
  <c r="S10" i="1"/>
  <c r="I8" i="1"/>
  <c r="U6" i="1"/>
  <c r="I6" i="1"/>
  <c r="I9" i="1"/>
  <c r="O11" i="1"/>
  <c r="U7" i="1"/>
  <c r="U8" i="1"/>
  <c r="U9" i="1"/>
  <c r="T10" i="1"/>
  <c r="I10" i="1"/>
  <c r="H11" i="1"/>
  <c r="J11" i="1" s="1"/>
  <c r="Q11" i="1"/>
  <c r="S11" i="1" l="1"/>
  <c r="R11" i="1"/>
  <c r="U10" i="1"/>
  <c r="V10" i="1"/>
  <c r="T11" i="1"/>
  <c r="I11" i="1"/>
  <c r="U11" i="1" l="1"/>
  <c r="V11" i="1"/>
</calcChain>
</file>

<file path=xl/sharedStrings.xml><?xml version="1.0" encoding="utf-8"?>
<sst xmlns="http://schemas.openxmlformats.org/spreadsheetml/2006/main" count="32" uniqueCount="19">
  <si>
    <t>前年度比</t>
  </si>
  <si>
    <t>コンテナ</t>
  </si>
  <si>
    <t>（単位：万トン）</t>
  </si>
  <si>
    <t>品    目</t>
  </si>
  <si>
    <t>輸入</t>
  </si>
  <si>
    <t>輸出</t>
  </si>
  <si>
    <t>小計</t>
  </si>
  <si>
    <t>移入</t>
  </si>
  <si>
    <t>移出</t>
  </si>
  <si>
    <t>合計</t>
  </si>
  <si>
    <t>前々年度比</t>
  </si>
  <si>
    <t>金 属 鉱</t>
  </si>
  <si>
    <t>鉄    鋼</t>
  </si>
  <si>
    <t>自 動 車</t>
  </si>
  <si>
    <t>石    炭</t>
  </si>
  <si>
    <t>合    計</t>
  </si>
  <si>
    <t>令和3年度　関東運輸局管内主要品目船舶積卸し実績</t>
    <rPh sb="0" eb="2">
      <t>レイワ</t>
    </rPh>
    <rPh sb="3" eb="5">
      <t>ネンド</t>
    </rPh>
    <rPh sb="6" eb="11">
      <t>カントウウンユキョク</t>
    </rPh>
    <rPh sb="11" eb="13">
      <t>カンナイ</t>
    </rPh>
    <rPh sb="13" eb="15">
      <t>シュヨウ</t>
    </rPh>
    <rPh sb="15" eb="17">
      <t>ヒンモク</t>
    </rPh>
    <rPh sb="17" eb="19">
      <t>センパク</t>
    </rPh>
    <rPh sb="19" eb="21">
      <t>ツミオロ</t>
    </rPh>
    <rPh sb="22" eb="24">
      <t>ジッセキ</t>
    </rPh>
    <phoneticPr fontId="5"/>
  </si>
  <si>
    <t>-</t>
    <phoneticPr fontId="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</si>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</sst>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1"/>
      <color indexed="5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color theme="1"/>
      <name val="ＭＳ Ｐゴシック"/>
      <family val="2"/>
      <scheme val="minor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3" applyFont="1" applyAlignment="1">
      <alignment horizontal="distributed" vertical="center" justifyLastLine="1"/>
    </xf>
    <xf numFmtId="0" fontId="3" fillId="0" borderId="0" xfId="3" applyFont="1">
      <alignment vertical="center"/>
    </xf>
    <xf numFmtId="0" fontId="4" fillId="0" borderId="0" xfId="3" applyFont="1">
      <alignment vertical="center"/>
    </xf>
    <xf numFmtId="38" fontId="4" fillId="2" borderId="18" xfId="1" applyFont="1" applyFill="1" applyBorder="1" applyAlignment="1">
      <alignment vertical="center" shrinkToFit="1"/>
    </xf>
    <xf numFmtId="176" fontId="4" fillId="2" borderId="19" xfId="2" applyNumberFormat="1" applyFont="1" applyFill="1" applyBorder="1" applyAlignment="1">
      <alignment vertical="center" shrinkToFit="1"/>
    </xf>
    <xf numFmtId="38" fontId="4" fillId="2" borderId="0" xfId="1" applyFont="1" applyFill="1" applyBorder="1" applyAlignment="1">
      <alignment vertical="center" shrinkToFit="1"/>
    </xf>
    <xf numFmtId="176" fontId="4" fillId="2" borderId="8" xfId="2" applyNumberFormat="1" applyFont="1" applyFill="1" applyBorder="1" applyAlignment="1">
      <alignment vertical="center" shrinkToFit="1"/>
    </xf>
    <xf numFmtId="176" fontId="4" fillId="2" borderId="20" xfId="2" applyNumberFormat="1" applyFont="1" applyFill="1" applyBorder="1" applyAlignment="1">
      <alignment vertical="center" shrinkToFit="1"/>
    </xf>
    <xf numFmtId="176" fontId="4" fillId="2" borderId="21" xfId="2" applyNumberFormat="1" applyFont="1" applyFill="1" applyBorder="1" applyAlignment="1">
      <alignment vertical="center" shrinkToFit="1"/>
    </xf>
    <xf numFmtId="176" fontId="4" fillId="2" borderId="22" xfId="2" applyNumberFormat="1" applyFont="1" applyFill="1" applyBorder="1" applyAlignment="1">
      <alignment vertical="center" shrinkToFit="1"/>
    </xf>
    <xf numFmtId="38" fontId="4" fillId="2" borderId="22" xfId="1" applyFont="1" applyFill="1" applyBorder="1" applyAlignment="1">
      <alignment vertical="center" shrinkToFit="1"/>
    </xf>
    <xf numFmtId="176" fontId="4" fillId="2" borderId="23" xfId="2" applyNumberFormat="1" applyFont="1" applyFill="1" applyBorder="1" applyAlignment="1">
      <alignment vertical="center" shrinkToFit="1"/>
    </xf>
    <xf numFmtId="38" fontId="4" fillId="0" borderId="25" xfId="1" applyFont="1" applyFill="1" applyBorder="1" applyAlignment="1">
      <alignment vertical="center" shrinkToFit="1"/>
    </xf>
    <xf numFmtId="176" fontId="4" fillId="0" borderId="26" xfId="2" applyNumberFormat="1" applyFont="1" applyFill="1" applyBorder="1" applyAlignment="1">
      <alignment vertical="center" shrinkToFit="1"/>
    </xf>
    <xf numFmtId="38" fontId="4" fillId="0" borderId="27" xfId="1" applyFont="1" applyFill="1" applyBorder="1" applyAlignment="1">
      <alignment vertical="center" shrinkToFit="1"/>
    </xf>
    <xf numFmtId="176" fontId="4" fillId="0" borderId="28" xfId="2" applyNumberFormat="1" applyFont="1" applyFill="1" applyBorder="1" applyAlignment="1">
      <alignment vertical="center" shrinkToFit="1"/>
    </xf>
    <xf numFmtId="176" fontId="4" fillId="0" borderId="29" xfId="2" applyNumberFormat="1" applyFont="1" applyFill="1" applyBorder="1" applyAlignment="1">
      <alignment vertical="center" shrinkToFit="1"/>
    </xf>
    <xf numFmtId="38" fontId="4" fillId="0" borderId="30" xfId="1" applyFont="1" applyFill="1" applyBorder="1" applyAlignment="1">
      <alignment vertical="center" shrinkToFit="1"/>
    </xf>
    <xf numFmtId="176" fontId="4" fillId="0" borderId="31" xfId="2" applyNumberFormat="1" applyFont="1" applyFill="1" applyBorder="1" applyAlignment="1">
      <alignment vertical="center" shrinkToFit="1"/>
    </xf>
    <xf numFmtId="176" fontId="4" fillId="0" borderId="32" xfId="2" applyNumberFormat="1" applyFont="1" applyFill="1" applyBorder="1" applyAlignment="1">
      <alignment vertical="center" shrinkToFit="1"/>
    </xf>
    <xf numFmtId="40" fontId="4" fillId="0" borderId="32" xfId="1" applyNumberFormat="1" applyFont="1" applyFill="1" applyBorder="1" applyAlignment="1">
      <alignment vertical="center" shrinkToFit="1"/>
    </xf>
    <xf numFmtId="176" fontId="4" fillId="0" borderId="33" xfId="2" applyNumberFormat="1" applyFont="1" applyFill="1" applyBorder="1" applyAlignment="1">
      <alignment vertical="center" shrinkToFit="1"/>
    </xf>
    <xf numFmtId="176" fontId="4" fillId="0" borderId="34" xfId="2" applyNumberFormat="1" applyFont="1" applyFill="1" applyBorder="1" applyAlignment="1">
      <alignment vertical="center" shrinkToFit="1"/>
    </xf>
    <xf numFmtId="38" fontId="4" fillId="2" borderId="35" xfId="1" applyFont="1" applyFill="1" applyBorder="1" applyAlignment="1">
      <alignment vertical="center" shrinkToFit="1"/>
    </xf>
    <xf numFmtId="176" fontId="4" fillId="2" borderId="26" xfId="2" applyNumberFormat="1" applyFont="1" applyFill="1" applyBorder="1" applyAlignment="1">
      <alignment vertical="center" shrinkToFit="1"/>
    </xf>
    <xf numFmtId="38" fontId="4" fillId="2" borderId="27" xfId="1" applyFont="1" applyFill="1" applyBorder="1" applyAlignment="1">
      <alignment vertical="center" shrinkToFit="1"/>
    </xf>
    <xf numFmtId="176" fontId="4" fillId="2" borderId="36" xfId="2" applyNumberFormat="1" applyFont="1" applyFill="1" applyBorder="1" applyAlignment="1">
      <alignment vertical="center" shrinkToFit="1"/>
    </xf>
    <xf numFmtId="176" fontId="4" fillId="2" borderId="29" xfId="2" applyNumberFormat="1" applyFont="1" applyFill="1" applyBorder="1" applyAlignment="1">
      <alignment vertical="center" shrinkToFit="1"/>
    </xf>
    <xf numFmtId="176" fontId="4" fillId="2" borderId="28" xfId="2" applyNumberFormat="1" applyFont="1" applyFill="1" applyBorder="1" applyAlignment="1">
      <alignment vertical="center" shrinkToFit="1"/>
    </xf>
    <xf numFmtId="176" fontId="4" fillId="2" borderId="34" xfId="2" applyNumberFormat="1" applyFont="1" applyFill="1" applyBorder="1" applyAlignment="1">
      <alignment vertical="center" shrinkToFit="1"/>
    </xf>
    <xf numFmtId="38" fontId="4" fillId="2" borderId="28" xfId="1" applyFont="1" applyFill="1" applyBorder="1" applyAlignment="1">
      <alignment vertical="center" shrinkToFit="1"/>
    </xf>
    <xf numFmtId="38" fontId="4" fillId="0" borderId="35" xfId="1" applyFont="1" applyFill="1" applyBorder="1" applyAlignment="1">
      <alignment vertical="center" shrinkToFit="1"/>
    </xf>
    <xf numFmtId="38" fontId="4" fillId="0" borderId="28" xfId="1" applyFont="1" applyFill="1" applyBorder="1" applyAlignment="1">
      <alignment vertical="center" shrinkToFit="1"/>
    </xf>
    <xf numFmtId="176" fontId="4" fillId="2" borderId="38" xfId="2" applyNumberFormat="1" applyFont="1" applyFill="1" applyBorder="1" applyAlignment="1">
      <alignment vertical="center" shrinkToFit="1"/>
    </xf>
    <xf numFmtId="176" fontId="4" fillId="2" borderId="32" xfId="2" applyNumberFormat="1" applyFont="1" applyFill="1" applyBorder="1" applyAlignment="1">
      <alignment vertical="center" shrinkToFit="1"/>
    </xf>
    <xf numFmtId="176" fontId="4" fillId="2" borderId="20" xfId="2" applyNumberFormat="1" applyFont="1" applyFill="1" applyBorder="1" applyAlignment="1">
      <alignment horizontal="center" vertical="center" shrinkToFit="1"/>
    </xf>
    <xf numFmtId="176" fontId="4" fillId="2" borderId="39" xfId="2" applyNumberFormat="1" applyFont="1" applyFill="1" applyBorder="1" applyAlignment="1">
      <alignment vertical="center" shrinkToFit="1"/>
    </xf>
    <xf numFmtId="38" fontId="4" fillId="0" borderId="41" xfId="3" applyNumberFormat="1" applyFont="1" applyFill="1" applyBorder="1" applyAlignment="1">
      <alignment vertical="center" shrinkToFit="1"/>
    </xf>
    <xf numFmtId="176" fontId="4" fillId="0" borderId="42" xfId="2" applyNumberFormat="1" applyFont="1" applyFill="1" applyBorder="1" applyAlignment="1">
      <alignment vertical="center" shrinkToFit="1"/>
    </xf>
    <xf numFmtId="176" fontId="4" fillId="0" borderId="43" xfId="2" applyNumberFormat="1" applyFont="1" applyFill="1" applyBorder="1" applyAlignment="1">
      <alignment vertical="center" shrinkToFit="1"/>
    </xf>
    <xf numFmtId="176" fontId="4" fillId="0" borderId="44" xfId="2" applyNumberFormat="1" applyFont="1" applyFill="1" applyBorder="1" applyAlignment="1">
      <alignment vertical="center" shrinkToFit="1"/>
    </xf>
    <xf numFmtId="176" fontId="4" fillId="0" borderId="45" xfId="2" applyNumberFormat="1" applyFont="1" applyFill="1" applyBorder="1" applyAlignment="1">
      <alignment vertical="center" shrinkToFit="1"/>
    </xf>
    <xf numFmtId="176" fontId="4" fillId="0" borderId="46" xfId="2" applyNumberFormat="1" applyFont="1" applyFill="1" applyBorder="1" applyAlignment="1">
      <alignment vertical="center" shrinkToFit="1"/>
    </xf>
    <xf numFmtId="0" fontId="4" fillId="0" borderId="3" xfId="3" applyFont="1" applyFill="1" applyBorder="1" applyAlignment="1">
      <alignment horizontal="distributed" vertical="center" justifyLastLine="1"/>
    </xf>
    <xf numFmtId="0" fontId="4" fillId="0" borderId="4" xfId="3" applyFont="1" applyFill="1" applyBorder="1" applyAlignment="1">
      <alignment horizontal="distributed" vertical="center" justifyLastLine="1"/>
    </xf>
    <xf numFmtId="0" fontId="4" fillId="0" borderId="3" xfId="3" applyFont="1" applyBorder="1" applyAlignment="1">
      <alignment horizontal="distributed" vertical="center" justifyLastLine="1"/>
    </xf>
    <xf numFmtId="0" fontId="4" fillId="0" borderId="5" xfId="3" applyFont="1" applyBorder="1" applyAlignment="1">
      <alignment horizontal="distributed" vertical="center" justifyLastLine="1"/>
    </xf>
    <xf numFmtId="0" fontId="4" fillId="0" borderId="6" xfId="3" applyFont="1" applyFill="1" applyBorder="1" applyAlignment="1">
      <alignment horizontal="distributed" vertical="center" justifyLastLine="1"/>
    </xf>
    <xf numFmtId="0" fontId="4" fillId="0" borderId="7" xfId="3" applyFont="1" applyFill="1" applyBorder="1" applyAlignment="1">
      <alignment horizontal="distributed" vertical="center" justifyLastLine="1"/>
    </xf>
    <xf numFmtId="0" fontId="4" fillId="0" borderId="5" xfId="3" applyFont="1" applyFill="1" applyBorder="1" applyAlignment="1">
      <alignment horizontal="distributed" vertical="center" justifyLastLine="1"/>
    </xf>
    <xf numFmtId="0" fontId="4" fillId="0" borderId="6" xfId="3" applyFont="1" applyBorder="1">
      <alignment vertical="center"/>
    </xf>
    <xf numFmtId="0" fontId="4" fillId="0" borderId="11" xfId="3" applyFont="1" applyFill="1" applyBorder="1" applyAlignment="1">
      <alignment horizontal="center" vertical="center" shrinkToFit="1"/>
    </xf>
    <xf numFmtId="0" fontId="4" fillId="0" borderId="13" xfId="3" applyFont="1" applyBorder="1" applyAlignment="1">
      <alignment horizontal="center" vertical="center" shrinkToFit="1"/>
    </xf>
    <xf numFmtId="0" fontId="4" fillId="0" borderId="14" xfId="3" applyFont="1" applyFill="1" applyBorder="1" applyAlignment="1">
      <alignment horizontal="center" vertical="center" shrinkToFit="1"/>
    </xf>
    <xf numFmtId="0" fontId="4" fillId="0" borderId="13" xfId="3" applyFont="1" applyFill="1" applyBorder="1" applyAlignment="1">
      <alignment vertical="center" shrinkToFit="1"/>
    </xf>
    <xf numFmtId="0" fontId="4" fillId="0" borderId="15" xfId="3" applyFont="1" applyFill="1" applyBorder="1" applyAlignment="1">
      <alignment horizontal="center" vertical="center" shrinkToFit="1"/>
    </xf>
    <xf numFmtId="0" fontId="4" fillId="0" borderId="11" xfId="3" applyFont="1" applyFill="1" applyBorder="1" applyAlignment="1">
      <alignment vertical="center" shrinkToFit="1"/>
    </xf>
    <xf numFmtId="0" fontId="4" fillId="0" borderId="16" xfId="3" applyFont="1" applyFill="1" applyBorder="1" applyAlignment="1">
      <alignment horizontal="center" vertical="center" shrinkToFit="1"/>
    </xf>
    <xf numFmtId="0" fontId="4" fillId="2" borderId="17" xfId="3" applyFont="1" applyFill="1" applyBorder="1" applyAlignment="1">
      <alignment horizontal="distributed" vertical="center" justifyLastLine="1"/>
    </xf>
    <xf numFmtId="0" fontId="4" fillId="0" borderId="24" xfId="3" applyFont="1" applyBorder="1" applyAlignment="1">
      <alignment horizontal="distributed" vertical="center" justifyLastLine="1"/>
    </xf>
    <xf numFmtId="0" fontId="4" fillId="2" borderId="24" xfId="3" applyFont="1" applyFill="1" applyBorder="1" applyAlignment="1">
      <alignment horizontal="distributed" vertical="center" justifyLastLine="1"/>
    </xf>
    <xf numFmtId="0" fontId="4" fillId="2" borderId="37" xfId="3" applyFont="1" applyFill="1" applyBorder="1" applyAlignment="1">
      <alignment horizontal="distributed" vertical="center" justifyLastLine="1"/>
    </xf>
    <xf numFmtId="0" fontId="4" fillId="0" borderId="40" xfId="3" applyFont="1" applyBorder="1" applyAlignment="1">
      <alignment horizontal="distributed" vertical="center" justifyLastLine="1"/>
    </xf>
    <xf numFmtId="38" fontId="4" fillId="2" borderId="47" xfId="3" applyNumberFormat="1" applyFont="1" applyFill="1" applyBorder="1" applyAlignment="1">
      <alignment vertical="center" shrinkToFit="1"/>
    </xf>
    <xf numFmtId="38" fontId="4" fillId="0" borderId="42" xfId="3" applyNumberFormat="1" applyFont="1" applyFill="1" applyBorder="1" applyAlignment="1">
      <alignment vertical="center" shrinkToFit="1"/>
    </xf>
    <xf numFmtId="38" fontId="4" fillId="2" borderId="30" xfId="1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 wrapText="1"/>
    </xf>
    <xf numFmtId="0" fontId="4" fillId="0" borderId="3" xfId="3" applyFont="1" applyFill="1" applyBorder="1" applyAlignment="1">
      <alignment horizontal="distributed" vertical="center" justifyLastLine="1"/>
    </xf>
    <xf numFmtId="0" fontId="4" fillId="0" borderId="12" xfId="3" applyFont="1" applyFill="1" applyBorder="1" applyAlignment="1">
      <alignment horizontal="distributed" vertical="center" justifyLastLine="1"/>
    </xf>
    <xf numFmtId="0" fontId="4" fillId="0" borderId="1" xfId="3" applyFont="1" applyBorder="1" applyAlignment="1">
      <alignment horizontal="center" vertical="center" justifyLastLine="1"/>
    </xf>
    <xf numFmtId="0" fontId="4" fillId="0" borderId="9" xfId="3" applyFont="1" applyBorder="1" applyAlignment="1">
      <alignment horizontal="center" vertical="center" justifyLastLine="1"/>
    </xf>
    <xf numFmtId="0" fontId="4" fillId="0" borderId="2" xfId="3" applyFont="1" applyFill="1" applyBorder="1" applyAlignment="1">
      <alignment horizontal="distributed" vertical="center" justifyLastLine="1"/>
    </xf>
    <xf numFmtId="0" fontId="4" fillId="0" borderId="10" xfId="3" applyFont="1" applyFill="1" applyBorder="1" applyAlignment="1">
      <alignment horizontal="distributed" vertical="center" justifyLastLine="1"/>
    </xf>
    <xf numFmtId="0" fontId="4" fillId="0" borderId="8" xfId="3" applyFont="1" applyFill="1" applyBorder="1" applyAlignment="1">
      <alignment horizontal="distributed" vertical="center" justifyLastLine="1"/>
    </xf>
    <xf numFmtId="0" fontId="4" fillId="0" borderId="16" xfId="3" applyFont="1" applyFill="1" applyBorder="1" applyAlignment="1">
      <alignment horizontal="distributed" vertical="center" justifyLastLine="1"/>
    </xf>
  </cellXfs>
  <cellStyles count="7">
    <cellStyle name="パーセント" xfId="2" builtinId="5"/>
    <cellStyle name="パーセント 2" xfId="5" xr:uid="{00000000-0005-0000-0000-000001000000}"/>
    <cellStyle name="桁区切り" xfId="1" builtinId="6"/>
    <cellStyle name="桁区切り 2" xfId="6" xr:uid="{00000000-0005-0000-0000-000003000000}"/>
    <cellStyle name="標準" xfId="0" builtinId="0"/>
    <cellStyle name="標準 2" xfId="4" xr:uid="{00000000-0005-0000-0000-000005000000}"/>
    <cellStyle name="標準_主要五品目（下半期）" xfId="3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toh-i555z/Desktop/&#12467;&#12500;&#12540;&#12288;H31(R&#20803;)&#24180;&#24230;&#33337;&#33334;&#31309;&#12415;&#21368;&#12375;&#23455;&#32318;&#12503;&#12524;&#12473;&#36039;&#26009;&#12304;&#12487;&#12540;&#12479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手順"/>
      <sheetName val="港別ﾃﾞｰﾀﾍﾞｰｽ"/>
      <sheetName val="関東当年度"/>
      <sheetName val="関東前年度"/>
      <sheetName val="関東前々年度"/>
      <sheetName val="横浜当年度"/>
      <sheetName val="横浜前年度"/>
      <sheetName val="横浜前々年度"/>
      <sheetName val="東京当年度"/>
      <sheetName val="東京前年度"/>
      <sheetName val="東京前々年度"/>
      <sheetName val="川崎当年度"/>
      <sheetName val="川崎前年度"/>
      <sheetName val="川崎前々年度"/>
      <sheetName val="横須賀当年度"/>
      <sheetName val="横須賀前年度"/>
      <sheetName val="横須賀前々年度"/>
      <sheetName val="千葉当年度"/>
      <sheetName val="千葉前年度"/>
      <sheetName val="千葉前々年度"/>
      <sheetName val="木更津当年度"/>
      <sheetName val="木更津前年度"/>
      <sheetName val="木更津前々年度"/>
      <sheetName val="鹿島当年度"/>
      <sheetName val="鹿島前年度"/>
      <sheetName val="鹿島前々年度"/>
      <sheetName val="日立当年度"/>
      <sheetName val="日立前年度"/>
      <sheetName val="日立前々年度"/>
      <sheetName val="輸移出入別"/>
      <sheetName val="P1"/>
      <sheetName val="P1-2"/>
      <sheetName val="P2"/>
      <sheetName val="P2-2、3"/>
      <sheetName val="P3"/>
      <sheetName val="ｸﾞﾗﾌﾃﾞｰﾀ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主要５品目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2">
          <cell r="C12">
            <v>45901566</v>
          </cell>
          <cell r="H12">
            <v>1</v>
          </cell>
          <cell r="I12" t="str">
            <v>①</v>
          </cell>
        </row>
        <row r="13">
          <cell r="H13">
            <v>2</v>
          </cell>
          <cell r="I13" t="str">
            <v>②</v>
          </cell>
        </row>
        <row r="14">
          <cell r="H14">
            <v>3</v>
          </cell>
          <cell r="I14" t="str">
            <v>③</v>
          </cell>
        </row>
        <row r="15">
          <cell r="H15">
            <v>4</v>
          </cell>
          <cell r="I15" t="str">
            <v>④</v>
          </cell>
        </row>
        <row r="16">
          <cell r="H16">
            <v>5</v>
          </cell>
          <cell r="I16" t="str">
            <v>⑤</v>
          </cell>
        </row>
        <row r="17">
          <cell r="H17">
            <v>6</v>
          </cell>
          <cell r="I17" t="str">
            <v>⑥</v>
          </cell>
        </row>
        <row r="18">
          <cell r="H18">
            <v>7</v>
          </cell>
          <cell r="I18" t="str">
            <v>⑦</v>
          </cell>
        </row>
        <row r="19">
          <cell r="H19">
            <v>8</v>
          </cell>
          <cell r="I19" t="str">
            <v>⑧</v>
          </cell>
        </row>
      </sheetData>
      <sheetData sheetId="30">
        <row r="3">
          <cell r="C3" t="str">
            <v>２７年度</v>
          </cell>
        </row>
      </sheetData>
      <sheetData sheetId="31"/>
      <sheetData sheetId="32"/>
      <sheetData sheetId="33"/>
      <sheetData sheetId="34"/>
      <sheetData sheetId="35">
        <row r="3">
          <cell r="C3">
            <v>4</v>
          </cell>
        </row>
      </sheetData>
      <sheetData sheetId="36"/>
      <sheetData sheetId="37"/>
      <sheetData sheetId="38"/>
      <sheetData sheetId="39"/>
      <sheetData sheetId="40">
        <row r="11">
          <cell r="R11">
            <v>9932.685300000001</v>
          </cell>
        </row>
      </sheetData>
      <sheetData sheetId="41"/>
      <sheetData sheetId="42"/>
      <sheetData sheetId="43">
        <row r="11">
          <cell r="R11">
            <v>730.92729999999995</v>
          </cell>
        </row>
      </sheetData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11"/>
  <sheetViews>
    <sheetView tabSelected="1" view="pageBreakPreview" zoomScale="60" zoomScaleNormal="100" workbookViewId="0">
      <selection activeCell="E11" sqref="E11"/>
    </sheetView>
  </sheetViews>
  <sheetFormatPr defaultRowHeight="13.2" x14ac:dyDescent="0.2"/>
  <cols>
    <col min="2" max="22" width="6.6640625" customWidth="1"/>
  </cols>
  <sheetData>
    <row r="2" spans="1:22" ht="20.100000000000001" customHeight="1" x14ac:dyDescent="0.2">
      <c r="B2" s="67" t="s">
        <v>16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2" ht="18" customHeight="1" thickBo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2"/>
      <c r="P3" s="2"/>
      <c r="Q3" s="2"/>
      <c r="R3" s="2"/>
      <c r="S3" s="2"/>
      <c r="T3" s="2"/>
      <c r="U3" s="3" t="s">
        <v>2</v>
      </c>
      <c r="V3" s="2"/>
    </row>
    <row r="4" spans="1:22" ht="24.9" customHeight="1" x14ac:dyDescent="0.2">
      <c r="A4" s="70" t="s">
        <v>3</v>
      </c>
      <c r="B4" s="72" t="s">
        <v>4</v>
      </c>
      <c r="C4" s="44"/>
      <c r="D4" s="45"/>
      <c r="E4" s="68" t="s">
        <v>5</v>
      </c>
      <c r="F4" s="46"/>
      <c r="G4" s="47"/>
      <c r="H4" s="68" t="s">
        <v>6</v>
      </c>
      <c r="I4" s="44"/>
      <c r="J4" s="48"/>
      <c r="K4" s="68" t="s">
        <v>7</v>
      </c>
      <c r="L4" s="44"/>
      <c r="M4" s="49"/>
      <c r="N4" s="74" t="s">
        <v>8</v>
      </c>
      <c r="O4" s="44"/>
      <c r="P4" s="50"/>
      <c r="Q4" s="68" t="s">
        <v>6</v>
      </c>
      <c r="R4" s="44"/>
      <c r="S4" s="50"/>
      <c r="T4" s="68" t="s">
        <v>9</v>
      </c>
      <c r="U4" s="44"/>
      <c r="V4" s="51"/>
    </row>
    <row r="5" spans="1:22" ht="24.9" customHeight="1" thickBot="1" x14ac:dyDescent="0.25">
      <c r="A5" s="71"/>
      <c r="B5" s="73"/>
      <c r="C5" s="52" t="s">
        <v>0</v>
      </c>
      <c r="D5" s="52" t="s">
        <v>10</v>
      </c>
      <c r="E5" s="69"/>
      <c r="F5" s="53" t="s">
        <v>0</v>
      </c>
      <c r="G5" s="54" t="s">
        <v>10</v>
      </c>
      <c r="H5" s="69"/>
      <c r="I5" s="55" t="s">
        <v>0</v>
      </c>
      <c r="J5" s="56" t="s">
        <v>10</v>
      </c>
      <c r="K5" s="69"/>
      <c r="L5" s="57" t="s">
        <v>0</v>
      </c>
      <c r="M5" s="58" t="s">
        <v>10</v>
      </c>
      <c r="N5" s="75"/>
      <c r="O5" s="55" t="s">
        <v>0</v>
      </c>
      <c r="P5" s="54" t="s">
        <v>10</v>
      </c>
      <c r="Q5" s="69"/>
      <c r="R5" s="55" t="s">
        <v>0</v>
      </c>
      <c r="S5" s="54" t="s">
        <v>10</v>
      </c>
      <c r="T5" s="69"/>
      <c r="U5" s="55" t="s">
        <v>0</v>
      </c>
      <c r="V5" s="56" t="s">
        <v>10</v>
      </c>
    </row>
    <row r="6" spans="1:22" ht="30" customHeight="1" x14ac:dyDescent="0.2">
      <c r="A6" s="59" t="s">
        <v>1</v>
      </c>
      <c r="B6" s="4">
        <v>11523.824000000001</v>
      </c>
      <c r="C6" s="5">
        <f>B6/11089.8556</f>
        <v>1.039132015388911</v>
      </c>
      <c r="D6" s="5">
        <f>B6/11631.5752</f>
        <v>0.99073631918744776</v>
      </c>
      <c r="E6" s="6">
        <v>10399.031199999999</v>
      </c>
      <c r="F6" s="7">
        <f>E6/10185.1164</f>
        <v>1.021002685840684</v>
      </c>
      <c r="G6" s="8">
        <f>E6/10855.0391999999</f>
        <v>0.95799112360645333</v>
      </c>
      <c r="H6" s="6">
        <f t="shared" ref="H6:H11" si="0">SUM(B6,E6)</f>
        <v>21922.855199999998</v>
      </c>
      <c r="I6" s="7">
        <f>H6/21274.972</f>
        <v>1.0304528344385129</v>
      </c>
      <c r="J6" s="9">
        <f>H6/283.415</f>
        <v>77.352487341883801</v>
      </c>
      <c r="K6" s="6">
        <v>313.0333</v>
      </c>
      <c r="L6" s="5">
        <f>K6/308.7768</f>
        <v>1.0137850382541693</v>
      </c>
      <c r="M6" s="10">
        <f>K6/283.415</f>
        <v>1.1045050544254891</v>
      </c>
      <c r="N6" s="11">
        <v>243.2593</v>
      </c>
      <c r="O6" s="7">
        <f>N6/248.203</f>
        <v>0.98008202962897306</v>
      </c>
      <c r="P6" s="8">
        <f>N6/233.8337</f>
        <v>1.0403089888241088</v>
      </c>
      <c r="Q6" s="6">
        <f t="shared" ref="Q6:Q11" si="1">SUM(K6,N6)</f>
        <v>556.29259999999999</v>
      </c>
      <c r="R6" s="7">
        <f>Q6/556.9798</f>
        <v>0.99876620301131214</v>
      </c>
      <c r="S6" s="8">
        <f>Q6/517.2487</f>
        <v>1.0754838049858801</v>
      </c>
      <c r="T6" s="6">
        <f t="shared" ref="T6:T11" si="2">SUM(H6,Q6)</f>
        <v>22479.147799999999</v>
      </c>
      <c r="U6" s="10">
        <f>T6/21831.9518</f>
        <v>1.0296444406770813</v>
      </c>
      <c r="V6" s="12">
        <f>T6/23003.8631</f>
        <v>0.97719012247121229</v>
      </c>
    </row>
    <row r="7" spans="1:22" ht="30" customHeight="1" x14ac:dyDescent="0.2">
      <c r="A7" s="60" t="s">
        <v>11</v>
      </c>
      <c r="B7" s="13">
        <v>3514.114</v>
      </c>
      <c r="C7" s="14">
        <f>B7/2585.5806</f>
        <v>1.3591198820102535</v>
      </c>
      <c r="D7" s="14">
        <f>B7/3271.4803</f>
        <v>1.0741663338153067</v>
      </c>
      <c r="E7" s="21">
        <v>0.20849999999999999</v>
      </c>
      <c r="F7" s="16" t="s">
        <v>17</v>
      </c>
      <c r="G7" s="17" t="s">
        <v>18</v>
      </c>
      <c r="H7" s="18">
        <f t="shared" si="0"/>
        <v>3514.3225000000002</v>
      </c>
      <c r="I7" s="16">
        <f>H7/2585.5806</f>
        <v>1.3592005215385667</v>
      </c>
      <c r="J7" s="19">
        <f>H7/3271.4803</f>
        <v>1.0742300664320064</v>
      </c>
      <c r="K7" s="18">
        <v>60.965499999999999</v>
      </c>
      <c r="L7" s="14">
        <f>K7/29.115</f>
        <v>2.0939550060106473</v>
      </c>
      <c r="M7" s="20">
        <f>K7/22.3181</f>
        <v>2.7316617453994736</v>
      </c>
      <c r="N7" s="21">
        <v>1.4283999999999999</v>
      </c>
      <c r="O7" s="16">
        <f>N7/0.2507</f>
        <v>5.6976465895492625</v>
      </c>
      <c r="P7" s="17">
        <f>N7/13.0338</f>
        <v>0.10959198391873437</v>
      </c>
      <c r="Q7" s="18">
        <f t="shared" si="1"/>
        <v>62.393900000000002</v>
      </c>
      <c r="R7" s="16">
        <f>Q7/29.3657</f>
        <v>2.1247203369917966</v>
      </c>
      <c r="S7" s="22">
        <f>Q7/35.3519</f>
        <v>1.7649376695453427</v>
      </c>
      <c r="T7" s="18">
        <f t="shared" si="2"/>
        <v>3576.7164000000002</v>
      </c>
      <c r="U7" s="20">
        <f>T7/2614.9463</f>
        <v>1.3677972660471078</v>
      </c>
      <c r="V7" s="23">
        <f>T7/3306.8322</f>
        <v>1.0816141200028233</v>
      </c>
    </row>
    <row r="8" spans="1:22" ht="30" customHeight="1" x14ac:dyDescent="0.2">
      <c r="A8" s="61" t="s">
        <v>12</v>
      </c>
      <c r="B8" s="24">
        <v>189.23220000000001</v>
      </c>
      <c r="C8" s="25">
        <f>B8/218.4989</f>
        <v>0.86605561858663827</v>
      </c>
      <c r="D8" s="25">
        <f>B8/215.354</f>
        <v>0.87870297277970222</v>
      </c>
      <c r="E8" s="26">
        <v>953.34379999999999</v>
      </c>
      <c r="F8" s="27">
        <f>E8/688.8457</f>
        <v>1.3839729274640171</v>
      </c>
      <c r="G8" s="28">
        <f>E8/855.0199</f>
        <v>1.114996036934345</v>
      </c>
      <c r="H8" s="66">
        <f t="shared" si="0"/>
        <v>1142.576</v>
      </c>
      <c r="I8" s="29">
        <f>H8/907.3446</f>
        <v>1.2592525485906898</v>
      </c>
      <c r="J8" s="30">
        <f>H8/1070.3739</f>
        <v>1.0674550266967457</v>
      </c>
      <c r="K8" s="26">
        <v>719.06820000000005</v>
      </c>
      <c r="L8" s="25">
        <f>K8/583.6358</f>
        <v>1.2320495075867519</v>
      </c>
      <c r="M8" s="29">
        <f>K8/716.4082</f>
        <v>1.0037129669928402</v>
      </c>
      <c r="N8" s="31">
        <v>697.20590000000004</v>
      </c>
      <c r="O8" s="29">
        <f>N8/501.7416</f>
        <v>1.389571644049447</v>
      </c>
      <c r="P8" s="28">
        <f>N8/665.1017</f>
        <v>1.0482696104971616</v>
      </c>
      <c r="Q8" s="66">
        <f t="shared" si="1"/>
        <v>1416.2741000000001</v>
      </c>
      <c r="R8" s="29">
        <f>Q8/1084.3774</f>
        <v>1.3060712073121405</v>
      </c>
      <c r="S8" s="28">
        <f>Q8/1381.5099</f>
        <v>1.0251639166682773</v>
      </c>
      <c r="T8" s="26">
        <f t="shared" si="2"/>
        <v>2558.8501000000001</v>
      </c>
      <c r="U8" s="29">
        <f>T8/1991.722</f>
        <v>1.2847425996198265</v>
      </c>
      <c r="V8" s="30">
        <f>T8/2451.8838</f>
        <v>1.0436261702124709</v>
      </c>
    </row>
    <row r="9" spans="1:22" ht="30" customHeight="1" x14ac:dyDescent="0.2">
      <c r="A9" s="60" t="s">
        <v>13</v>
      </c>
      <c r="B9" s="32">
        <v>225.1645</v>
      </c>
      <c r="C9" s="14">
        <f>B9/238.3373</f>
        <v>0.9447304303606695</v>
      </c>
      <c r="D9" s="14">
        <f>B9/229.2812</f>
        <v>0.98204519166857118</v>
      </c>
      <c r="E9" s="15">
        <v>1432.0148999999999</v>
      </c>
      <c r="F9" s="16">
        <f>E9/1085.341</f>
        <v>1.319414727721518</v>
      </c>
      <c r="G9" s="17">
        <f>E9/1479.7625</f>
        <v>0.96773293011547457</v>
      </c>
      <c r="H9" s="18">
        <f t="shared" si="0"/>
        <v>1657.1794</v>
      </c>
      <c r="I9" s="16">
        <f>H9/1323.6783</f>
        <v>1.2519502661636139</v>
      </c>
      <c r="J9" s="23">
        <f>H9/1117.8825</f>
        <v>1.4824271781694409</v>
      </c>
      <c r="K9" s="15">
        <v>989.1902</v>
      </c>
      <c r="L9" s="14">
        <f>K9/1054.9161</f>
        <v>0.93769561389763612</v>
      </c>
      <c r="M9" s="16">
        <f>K9/1117.8825</f>
        <v>0.88487850914563926</v>
      </c>
      <c r="N9" s="33">
        <v>470.93729999999999</v>
      </c>
      <c r="O9" s="16">
        <f>N9/453.9824</f>
        <v>1.0373470425285209</v>
      </c>
      <c r="P9" s="17">
        <f>N9/566.2578</f>
        <v>0.83166589493336784</v>
      </c>
      <c r="Q9" s="18">
        <f t="shared" si="1"/>
        <v>1460.1275000000001</v>
      </c>
      <c r="R9" s="16">
        <f>Q9/1508.8985</f>
        <v>0.96767774638254334</v>
      </c>
      <c r="S9" s="17">
        <f>Q9/1684.1403</f>
        <v>0.8669868537674682</v>
      </c>
      <c r="T9" s="15">
        <f t="shared" si="2"/>
        <v>3117.3069</v>
      </c>
      <c r="U9" s="16">
        <f>T9/2832.5768</f>
        <v>1.100519816444165</v>
      </c>
      <c r="V9" s="23">
        <f>T9/3393.184</f>
        <v>0.91869668724124598</v>
      </c>
    </row>
    <row r="10" spans="1:22" ht="30" customHeight="1" thickBot="1" x14ac:dyDescent="0.25">
      <c r="A10" s="62" t="s">
        <v>14</v>
      </c>
      <c r="B10" s="4">
        <v>2729.4488000000001</v>
      </c>
      <c r="C10" s="34">
        <f>B10/2466.4143</f>
        <v>1.1066465191999577</v>
      </c>
      <c r="D10" s="5">
        <f>B10/2620.0196</f>
        <v>1.041766557776896</v>
      </c>
      <c r="E10" s="6">
        <v>4.7671000000000001</v>
      </c>
      <c r="F10" s="35">
        <f>E10/1.9309</f>
        <v>2.4688487233932364</v>
      </c>
      <c r="G10" s="36">
        <f>E10/3.5289</f>
        <v>1.3508742100937969</v>
      </c>
      <c r="H10" s="64">
        <f t="shared" si="0"/>
        <v>2734.2159000000001</v>
      </c>
      <c r="I10" s="35">
        <f>H10/2468.3452</f>
        <v>1.1077121222752797</v>
      </c>
      <c r="J10" s="9">
        <f>H10/2623.5485</f>
        <v>1.0421823343460204</v>
      </c>
      <c r="K10" s="6">
        <v>306.22070000000002</v>
      </c>
      <c r="L10" s="34">
        <f>K10/265.3863</f>
        <v>1.1538677768973002</v>
      </c>
      <c r="M10" s="10">
        <f>K10/304.9545</f>
        <v>1.0041520948207028</v>
      </c>
      <c r="N10" s="11">
        <v>109.9802</v>
      </c>
      <c r="O10" s="35">
        <f>N10/115.613</f>
        <v>0.95127883542508196</v>
      </c>
      <c r="P10" s="8">
        <f>N10/136.463</f>
        <v>0.8059342092728432</v>
      </c>
      <c r="Q10" s="64">
        <f t="shared" si="1"/>
        <v>416.20090000000005</v>
      </c>
      <c r="R10" s="35">
        <f>Q10/380.9993</f>
        <v>1.0923928206692244</v>
      </c>
      <c r="S10" s="8">
        <f>Q10/441.4175</f>
        <v>0.94287358339893645</v>
      </c>
      <c r="T10" s="6">
        <f t="shared" si="2"/>
        <v>3150.4168</v>
      </c>
      <c r="U10" s="10">
        <f>T10/2849.3445</f>
        <v>1.1056637061611889</v>
      </c>
      <c r="V10" s="37">
        <f>T10/3064.966</f>
        <v>1.0278798525008108</v>
      </c>
    </row>
    <row r="11" spans="1:22" ht="30" customHeight="1" thickTop="1" thickBot="1" x14ac:dyDescent="0.25">
      <c r="A11" s="63" t="s">
        <v>15</v>
      </c>
      <c r="B11" s="38">
        <f>SUM(B6:B10)</f>
        <v>18181.783500000001</v>
      </c>
      <c r="C11" s="39">
        <f>B11/16598.6867</f>
        <v>1.0953748226358175</v>
      </c>
      <c r="D11" s="40">
        <v>0.89617195560663987</v>
      </c>
      <c r="E11" s="65">
        <f>SUM(E6:E10)</f>
        <v>12789.3655</v>
      </c>
      <c r="F11" s="40">
        <f>E11/11961.234</f>
        <v>1.0692346207757493</v>
      </c>
      <c r="G11" s="41">
        <f>E11/13193.3505</f>
        <v>0.96937965075664434</v>
      </c>
      <c r="H11" s="38">
        <f t="shared" si="0"/>
        <v>30971.149000000001</v>
      </c>
      <c r="I11" s="40">
        <f>H11/28559.9207</f>
        <v>1.0844269956253767</v>
      </c>
      <c r="J11" s="42">
        <f>H11/31161.0608</f>
        <v>0.99390547705615984</v>
      </c>
      <c r="K11" s="38">
        <f>SUM(K6:K10)</f>
        <v>2388.4778999999999</v>
      </c>
      <c r="L11" s="39">
        <f>K11/2240.83</f>
        <v>1.0658898265374883</v>
      </c>
      <c r="M11" s="40">
        <f>K11/2444.9783</f>
        <v>0.97689124684664874</v>
      </c>
      <c r="N11" s="65">
        <f>SUM(N6:N10)</f>
        <v>1522.8111000000001</v>
      </c>
      <c r="O11" s="40">
        <f>N11/1319.7907</f>
        <v>1.1538277243505353</v>
      </c>
      <c r="P11" s="41">
        <f>N11/1614.69</f>
        <v>0.94309811790498488</v>
      </c>
      <c r="Q11" s="38">
        <f t="shared" si="1"/>
        <v>3911.2889999999998</v>
      </c>
      <c r="R11" s="40">
        <f>Q11/3560.6207</f>
        <v>1.0984851601856946</v>
      </c>
      <c r="S11" s="41">
        <f>Q11/4059.6683</f>
        <v>0.96345038829896523</v>
      </c>
      <c r="T11" s="38">
        <f t="shared" si="2"/>
        <v>34882.438000000002</v>
      </c>
      <c r="U11" s="40">
        <f>T11/32120.5414</f>
        <v>1.0859853688518464</v>
      </c>
      <c r="V11" s="43">
        <f>T11/35220.7291</f>
        <v>0.99039511365481658</v>
      </c>
    </row>
  </sheetData>
  <mergeCells count="9">
    <mergeCell ref="B2:U2"/>
    <mergeCell ref="Q4:Q5"/>
    <mergeCell ref="T4:T5"/>
    <mergeCell ref="A4:A5"/>
    <mergeCell ref="B4:B5"/>
    <mergeCell ref="E4:E5"/>
    <mergeCell ref="H4:H5"/>
    <mergeCell ref="K4:K5"/>
    <mergeCell ref="N4:N5"/>
  </mergeCells>
  <phoneticPr fontId="5"/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主要品目</vt:lpstr>
      <vt:lpstr>主要品目!Print_Area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2022-11-25T06:43:29Z</dcterms:modified>
</cp:coreProperties>
</file>