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updateLinks="never" defaultThemeVersion="124226"/>
  <xr:revisionPtr revIDLastSave="0" documentId="13_ncr:1_{FC638151-E910-420F-9525-8A05592750F2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主要品目" sheetId="1" r:id="rId1"/>
  </sheets>
  <externalReferences>
    <externalReference r:id="rId2"/>
  </externalReferences>
  <definedNames>
    <definedName name="順位" comment="P1以降の順位表示をする数式に必要">[1]輸移出入別!$H$12:$I$19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P10" i="1"/>
  <c r="L10" i="1"/>
  <c r="M10" i="1"/>
  <c r="F10" i="1"/>
  <c r="G10" i="1"/>
  <c r="C10" i="1"/>
  <c r="D10" i="1"/>
  <c r="O9" i="1"/>
  <c r="P9" i="1"/>
  <c r="L9" i="1"/>
  <c r="M9" i="1"/>
  <c r="F9" i="1"/>
  <c r="G9" i="1"/>
  <c r="C9" i="1"/>
  <c r="D9" i="1"/>
  <c r="O8" i="1"/>
  <c r="P8" i="1"/>
  <c r="L8" i="1"/>
  <c r="M8" i="1"/>
  <c r="G8" i="1"/>
  <c r="C8" i="1"/>
  <c r="D8" i="1"/>
  <c r="O7" i="1"/>
  <c r="P7" i="1"/>
  <c r="L7" i="1"/>
  <c r="M7" i="1"/>
  <c r="I7" i="1"/>
  <c r="J7" i="1"/>
  <c r="F7" i="1"/>
  <c r="G7" i="1"/>
  <c r="C7" i="1"/>
  <c r="D7" i="1"/>
  <c r="O6" i="1"/>
  <c r="P6" i="1"/>
  <c r="L6" i="1"/>
  <c r="M6" i="1"/>
  <c r="F6" i="1"/>
  <c r="G6" i="1"/>
  <c r="C6" i="1"/>
  <c r="D6" i="1"/>
  <c r="Q9" i="1"/>
  <c r="S9" i="1" s="1"/>
  <c r="H9" i="1"/>
  <c r="J9" i="1" s="1"/>
  <c r="Q8" i="1"/>
  <c r="R8" i="1" s="1"/>
  <c r="H8" i="1"/>
  <c r="Q10" i="1"/>
  <c r="R10" i="1" s="1"/>
  <c r="H10" i="1"/>
  <c r="I10" i="1" s="1"/>
  <c r="Q7" i="1"/>
  <c r="R7" i="1" s="1"/>
  <c r="H7" i="1"/>
  <c r="E11" i="1"/>
  <c r="G11" i="1" s="1"/>
  <c r="S10" i="1" l="1"/>
  <c r="J10" i="1"/>
  <c r="R9" i="1"/>
  <c r="I9" i="1"/>
  <c r="T8" i="1"/>
  <c r="U8" i="1" s="1"/>
  <c r="S8" i="1"/>
  <c r="J8" i="1"/>
  <c r="I8" i="1"/>
  <c r="S7" i="1"/>
  <c r="F11" i="1"/>
  <c r="T9" i="1"/>
  <c r="T10" i="1"/>
  <c r="T7" i="1"/>
  <c r="Q6" i="1"/>
  <c r="H6" i="1"/>
  <c r="N11" i="1"/>
  <c r="K11" i="1"/>
  <c r="B11" i="1"/>
  <c r="U10" i="1" l="1"/>
  <c r="V10" i="1"/>
  <c r="V9" i="1"/>
  <c r="U9" i="1"/>
  <c r="V8" i="1"/>
  <c r="U7" i="1"/>
  <c r="V7" i="1"/>
  <c r="O11" i="1"/>
  <c r="P11" i="1"/>
  <c r="M11" i="1"/>
  <c r="L11" i="1"/>
  <c r="R6" i="1"/>
  <c r="S6" i="1"/>
  <c r="C11" i="1"/>
  <c r="D11" i="1"/>
  <c r="I6" i="1"/>
  <c r="J6" i="1"/>
  <c r="T6" i="1"/>
  <c r="H11" i="1"/>
  <c r="Q11" i="1"/>
  <c r="S11" i="1" l="1"/>
  <c r="R11" i="1"/>
  <c r="I11" i="1"/>
  <c r="J11" i="1"/>
  <c r="U6" i="1"/>
  <c r="V6" i="1"/>
  <c r="T11" i="1"/>
  <c r="V11" i="1" l="1"/>
  <c r="U11" i="1"/>
</calcChain>
</file>

<file path=xl/sharedStrings.xml><?xml version="1.0" encoding="utf-8"?>
<sst xmlns="http://schemas.openxmlformats.org/spreadsheetml/2006/main" count="31" uniqueCount="18">
  <si>
    <t>前年度比</t>
  </si>
  <si>
    <t>コンテナ</t>
  </si>
  <si>
    <t>（単位：万トン）</t>
  </si>
  <si>
    <t>品    目</t>
  </si>
  <si>
    <t>輸入</t>
  </si>
  <si>
    <t>輸出</t>
  </si>
  <si>
    <t>小計</t>
  </si>
  <si>
    <t>移入</t>
  </si>
  <si>
    <t>移出</t>
  </si>
  <si>
    <t>合計</t>
  </si>
  <si>
    <t>前々年度比</t>
  </si>
  <si>
    <t>金 属 鉱</t>
  </si>
  <si>
    <t>鉄    鋼</t>
  </si>
  <si>
    <t>自 動 車</t>
  </si>
  <si>
    <t>石    炭</t>
  </si>
  <si>
    <t>合    計</t>
  </si>
  <si>
    <t>-</t>
    <phoneticPr fontId="5"/>
  </si>
  <si>
    <t>令和５年度　関東運輸局管内主要品目船舶積卸し実績</t>
    <rPh sb="0" eb="2">
      <t>レイワ</t>
    </rPh>
    <rPh sb="3" eb="5">
      <t>ネンド</t>
    </rPh>
    <rPh sb="6" eb="11">
      <t>カントウウンユキョク</t>
    </rPh>
    <rPh sb="11" eb="13">
      <t>カンナイ</t>
    </rPh>
    <rPh sb="13" eb="15">
      <t>シュヨウ</t>
    </rPh>
    <rPh sb="15" eb="17">
      <t>ヒンモク</t>
    </rPh>
    <rPh sb="17" eb="19">
      <t>センパク</t>
    </rPh>
    <rPh sb="19" eb="21">
      <t>ツミオロ</t>
    </rPh>
    <rPh sb="22" eb="24">
      <t>ジッセキ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</si>
</sst>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1"/>
      <color indexed="5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color theme="1"/>
      <name val="ＭＳ Ｐゴシック"/>
      <family val="2"/>
      <scheme val="minor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/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3" applyFont="1" applyAlignment="1">
      <alignment horizontal="distributed" vertical="center" justifyLastLine="1"/>
    </xf>
    <xf numFmtId="0" fontId="3" fillId="0" borderId="0" xfId="3" applyFont="1">
      <alignment vertical="center"/>
    </xf>
    <xf numFmtId="0" fontId="4" fillId="0" borderId="0" xfId="3" applyFont="1">
      <alignment vertical="center"/>
    </xf>
    <xf numFmtId="176" fontId="4" fillId="0" borderId="19" xfId="2" applyNumberFormat="1" applyFont="1" applyFill="1" applyBorder="1" applyAlignment="1">
      <alignment vertical="center" shrinkToFit="1"/>
    </xf>
    <xf numFmtId="38" fontId="4" fillId="0" borderId="20" xfId="1" applyFont="1" applyFill="1" applyBorder="1" applyAlignment="1">
      <alignment vertical="center" shrinkToFit="1"/>
    </xf>
    <xf numFmtId="176" fontId="4" fillId="0" borderId="21" xfId="2" applyNumberFormat="1" applyFont="1" applyFill="1" applyBorder="1" applyAlignment="1">
      <alignment vertical="center" shrinkToFit="1"/>
    </xf>
    <xf numFmtId="38" fontId="4" fillId="2" borderId="22" xfId="1" applyFont="1" applyFill="1" applyBorder="1" applyAlignment="1">
      <alignment vertical="center" shrinkToFit="1"/>
    </xf>
    <xf numFmtId="176" fontId="4" fillId="2" borderId="19" xfId="2" applyNumberFormat="1" applyFont="1" applyFill="1" applyBorder="1" applyAlignment="1">
      <alignment vertical="center" shrinkToFit="1"/>
    </xf>
    <xf numFmtId="176" fontId="4" fillId="2" borderId="21" xfId="2" applyNumberFormat="1" applyFont="1" applyFill="1" applyBorder="1" applyAlignment="1">
      <alignment vertical="center" shrinkToFit="1"/>
    </xf>
    <xf numFmtId="38" fontId="4" fillId="0" borderId="22" xfId="1" applyFont="1" applyFill="1" applyBorder="1" applyAlignment="1">
      <alignment vertical="center" shrinkToFit="1"/>
    </xf>
    <xf numFmtId="38" fontId="4" fillId="0" borderId="21" xfId="1" applyFont="1" applyFill="1" applyBorder="1" applyAlignment="1">
      <alignment vertical="center" shrinkToFit="1"/>
    </xf>
    <xf numFmtId="38" fontId="4" fillId="0" borderId="24" xfId="3" applyNumberFormat="1" applyFont="1" applyFill="1" applyBorder="1" applyAlignment="1">
      <alignment vertical="center" shrinkToFit="1"/>
    </xf>
    <xf numFmtId="176" fontId="4" fillId="0" borderId="25" xfId="2" applyNumberFormat="1" applyFont="1" applyFill="1" applyBorder="1" applyAlignment="1">
      <alignment vertical="center" shrinkToFit="1"/>
    </xf>
    <xf numFmtId="176" fontId="4" fillId="0" borderId="26" xfId="2" applyNumberFormat="1" applyFont="1" applyFill="1" applyBorder="1" applyAlignment="1">
      <alignment vertical="center" shrinkToFit="1"/>
    </xf>
    <xf numFmtId="0" fontId="4" fillId="0" borderId="4" xfId="3" applyFont="1" applyFill="1" applyBorder="1" applyAlignment="1">
      <alignment horizontal="distributed" vertical="center" justifyLastLine="1"/>
    </xf>
    <xf numFmtId="0" fontId="4" fillId="0" borderId="3" xfId="3" applyFont="1" applyBorder="1" applyAlignment="1">
      <alignment horizontal="distributed" vertical="center" justifyLastLine="1"/>
    </xf>
    <xf numFmtId="0" fontId="4" fillId="0" borderId="5" xfId="3" applyFont="1" applyBorder="1" applyAlignment="1">
      <alignment horizontal="distributed" vertical="center" justifyLastLine="1"/>
    </xf>
    <xf numFmtId="0" fontId="4" fillId="0" borderId="6" xfId="3" applyFont="1" applyFill="1" applyBorder="1" applyAlignment="1">
      <alignment horizontal="distributed" vertical="center" justifyLastLine="1"/>
    </xf>
    <xf numFmtId="0" fontId="4" fillId="0" borderId="7" xfId="3" applyFont="1" applyFill="1" applyBorder="1" applyAlignment="1">
      <alignment horizontal="distributed" vertical="center" justifyLastLine="1"/>
    </xf>
    <xf numFmtId="0" fontId="4" fillId="0" borderId="5" xfId="3" applyFont="1" applyFill="1" applyBorder="1" applyAlignment="1">
      <alignment horizontal="distributed" vertical="center" justifyLastLine="1"/>
    </xf>
    <xf numFmtId="0" fontId="4" fillId="0" borderId="6" xfId="3" applyFont="1" applyBorder="1">
      <alignment vertical="center"/>
    </xf>
    <xf numFmtId="0" fontId="4" fillId="0" borderId="11" xfId="3" applyFont="1" applyFill="1" applyBorder="1" applyAlignment="1">
      <alignment horizontal="center" vertical="center" shrinkToFit="1"/>
    </xf>
    <xf numFmtId="0" fontId="4" fillId="0" borderId="13" xfId="3" applyFont="1" applyBorder="1" applyAlignment="1">
      <alignment horizontal="center" vertical="center" shrinkToFit="1"/>
    </xf>
    <xf numFmtId="0" fontId="4" fillId="0" borderId="14" xfId="3" applyFont="1" applyFill="1" applyBorder="1" applyAlignment="1">
      <alignment horizontal="center" vertical="center" shrinkToFit="1"/>
    </xf>
    <xf numFmtId="0" fontId="4" fillId="0" borderId="13" xfId="3" applyFont="1" applyFill="1" applyBorder="1" applyAlignment="1">
      <alignment vertical="center" shrinkToFit="1"/>
    </xf>
    <xf numFmtId="0" fontId="4" fillId="0" borderId="15" xfId="3" applyFont="1" applyFill="1" applyBorder="1" applyAlignment="1">
      <alignment horizontal="center" vertical="center" shrinkToFit="1"/>
    </xf>
    <xf numFmtId="0" fontId="4" fillId="0" borderId="11" xfId="3" applyFont="1" applyFill="1" applyBorder="1" applyAlignment="1">
      <alignment vertical="center" shrinkToFit="1"/>
    </xf>
    <xf numFmtId="0" fontId="4" fillId="0" borderId="16" xfId="3" applyFont="1" applyFill="1" applyBorder="1" applyAlignment="1">
      <alignment horizontal="center" vertical="center" shrinkToFit="1"/>
    </xf>
    <xf numFmtId="0" fontId="4" fillId="2" borderId="17" xfId="3" applyFont="1" applyFill="1" applyBorder="1" applyAlignment="1">
      <alignment horizontal="distributed" vertical="center" justifyLastLine="1"/>
    </xf>
    <xf numFmtId="0" fontId="4" fillId="0" borderId="18" xfId="3" applyFont="1" applyBorder="1" applyAlignment="1">
      <alignment horizontal="distributed" vertical="center" justifyLastLine="1"/>
    </xf>
    <xf numFmtId="0" fontId="4" fillId="2" borderId="18" xfId="3" applyFont="1" applyFill="1" applyBorder="1" applyAlignment="1">
      <alignment horizontal="distributed" vertical="center" justifyLastLine="1"/>
    </xf>
    <xf numFmtId="0" fontId="4" fillId="0" borderId="23" xfId="3" applyFont="1" applyBorder="1" applyAlignment="1">
      <alignment horizontal="distributed" vertical="center" justifyLastLine="1"/>
    </xf>
    <xf numFmtId="38" fontId="4" fillId="0" borderId="25" xfId="3" applyNumberFormat="1" applyFont="1" applyFill="1" applyBorder="1" applyAlignment="1">
      <alignment vertical="center" shrinkToFit="1"/>
    </xf>
    <xf numFmtId="0" fontId="4" fillId="0" borderId="3" xfId="3" applyFont="1" applyFill="1" applyBorder="1" applyAlignment="1">
      <alignment horizontal="distributed" vertical="center" justifyLastLine="1"/>
    </xf>
    <xf numFmtId="176" fontId="4" fillId="0" borderId="28" xfId="2" applyNumberFormat="1" applyFont="1" applyFill="1" applyBorder="1" applyAlignment="1">
      <alignment vertical="center" shrinkToFit="1"/>
    </xf>
    <xf numFmtId="176" fontId="4" fillId="2" borderId="28" xfId="2" applyNumberFormat="1" applyFont="1" applyFill="1" applyBorder="1" applyAlignment="1">
      <alignment vertical="center" shrinkToFit="1"/>
    </xf>
    <xf numFmtId="176" fontId="4" fillId="0" borderId="29" xfId="2" applyNumberFormat="1" applyFont="1" applyFill="1" applyBorder="1" applyAlignment="1">
      <alignment vertical="center" shrinkToFit="1"/>
    </xf>
    <xf numFmtId="176" fontId="4" fillId="0" borderId="30" xfId="2" applyNumberFormat="1" applyFont="1" applyFill="1" applyBorder="1" applyAlignment="1">
      <alignment vertical="center" shrinkToFit="1"/>
    </xf>
    <xf numFmtId="176" fontId="4" fillId="0" borderId="31" xfId="2" applyNumberFormat="1" applyFont="1" applyFill="1" applyBorder="1" applyAlignment="1">
      <alignment vertical="center" shrinkToFit="1"/>
    </xf>
    <xf numFmtId="38" fontId="4" fillId="0" borderId="32" xfId="3" applyNumberFormat="1" applyFont="1" applyFill="1" applyBorder="1" applyAlignment="1">
      <alignment vertical="center" shrinkToFit="1"/>
    </xf>
    <xf numFmtId="38" fontId="4" fillId="0" borderId="33" xfId="1" applyFont="1" applyFill="1" applyBorder="1" applyAlignment="1">
      <alignment vertical="center" shrinkToFit="1"/>
    </xf>
    <xf numFmtId="38" fontId="4" fillId="2" borderId="33" xfId="1" applyFont="1" applyFill="1" applyBorder="1" applyAlignment="1">
      <alignment vertical="center" shrinkToFit="1"/>
    </xf>
    <xf numFmtId="38" fontId="4" fillId="0" borderId="34" xfId="3" applyNumberFormat="1" applyFont="1" applyFill="1" applyBorder="1" applyAlignment="1">
      <alignment vertical="center" shrinkToFit="1"/>
    </xf>
    <xf numFmtId="176" fontId="4" fillId="2" borderId="30" xfId="2" applyNumberFormat="1" applyFont="1" applyFill="1" applyBorder="1" applyAlignment="1">
      <alignment vertical="center" shrinkToFit="1"/>
    </xf>
    <xf numFmtId="38" fontId="4" fillId="0" borderId="35" xfId="1" applyFont="1" applyFill="1" applyBorder="1" applyAlignment="1">
      <alignment vertical="center" shrinkToFit="1"/>
    </xf>
    <xf numFmtId="38" fontId="4" fillId="2" borderId="35" xfId="1" applyFont="1" applyFill="1" applyBorder="1" applyAlignment="1">
      <alignment vertical="center" shrinkToFit="1"/>
    </xf>
    <xf numFmtId="38" fontId="4" fillId="2" borderId="36" xfId="1" applyFont="1" applyFill="1" applyBorder="1" applyAlignment="1">
      <alignment vertical="center" shrinkToFit="1"/>
    </xf>
    <xf numFmtId="176" fontId="4" fillId="2" borderId="37" xfId="2" applyNumberFormat="1" applyFont="1" applyFill="1" applyBorder="1" applyAlignment="1">
      <alignment vertical="center" shrinkToFit="1"/>
    </xf>
    <xf numFmtId="38" fontId="4" fillId="2" borderId="38" xfId="1" applyFont="1" applyFill="1" applyBorder="1" applyAlignment="1">
      <alignment vertical="center" shrinkToFit="1"/>
    </xf>
    <xf numFmtId="176" fontId="4" fillId="2" borderId="39" xfId="2" applyNumberFormat="1" applyFont="1" applyFill="1" applyBorder="1" applyAlignment="1">
      <alignment vertical="center" shrinkToFit="1"/>
    </xf>
    <xf numFmtId="176" fontId="4" fillId="2" borderId="40" xfId="2" applyNumberFormat="1" applyFont="1" applyFill="1" applyBorder="1" applyAlignment="1">
      <alignment vertical="center" shrinkToFit="1"/>
    </xf>
    <xf numFmtId="38" fontId="4" fillId="2" borderId="41" xfId="1" applyFont="1" applyFill="1" applyBorder="1" applyAlignment="1">
      <alignment vertical="center" shrinkToFit="1"/>
    </xf>
    <xf numFmtId="176" fontId="4" fillId="2" borderId="42" xfId="2" applyNumberFormat="1" applyFont="1" applyFill="1" applyBorder="1" applyAlignment="1">
      <alignment vertical="center" shrinkToFit="1"/>
    </xf>
    <xf numFmtId="38" fontId="4" fillId="2" borderId="43" xfId="1" applyFont="1" applyFill="1" applyBorder="1" applyAlignment="1">
      <alignment vertical="center" shrinkToFit="1"/>
    </xf>
    <xf numFmtId="38" fontId="4" fillId="2" borderId="39" xfId="1" applyFont="1" applyFill="1" applyBorder="1" applyAlignment="1">
      <alignment vertical="center" shrinkToFit="1"/>
    </xf>
    <xf numFmtId="0" fontId="4" fillId="2" borderId="44" xfId="3" applyFont="1" applyFill="1" applyBorder="1" applyAlignment="1">
      <alignment horizontal="distributed" vertical="center" justifyLastLine="1"/>
    </xf>
    <xf numFmtId="38" fontId="4" fillId="2" borderId="45" xfId="1" applyFont="1" applyFill="1" applyBorder="1" applyAlignment="1">
      <alignment vertical="center" shrinkToFit="1"/>
    </xf>
    <xf numFmtId="176" fontId="4" fillId="2" borderId="46" xfId="2" applyNumberFormat="1" applyFont="1" applyFill="1" applyBorder="1" applyAlignment="1">
      <alignment vertical="center" shrinkToFit="1"/>
    </xf>
    <xf numFmtId="38" fontId="4" fillId="2" borderId="47" xfId="1" applyFont="1" applyFill="1" applyBorder="1" applyAlignment="1">
      <alignment vertical="center" shrinkToFit="1"/>
    </xf>
    <xf numFmtId="176" fontId="4" fillId="2" borderId="48" xfId="2" applyNumberFormat="1" applyFont="1" applyFill="1" applyBorder="1" applyAlignment="1">
      <alignment vertical="center" shrinkToFit="1"/>
    </xf>
    <xf numFmtId="176" fontId="4" fillId="2" borderId="49" xfId="2" applyNumberFormat="1" applyFont="1" applyFill="1" applyBorder="1" applyAlignment="1">
      <alignment vertical="center" shrinkToFit="1"/>
    </xf>
    <xf numFmtId="38" fontId="4" fillId="2" borderId="27" xfId="1" applyFont="1" applyFill="1" applyBorder="1" applyAlignment="1">
      <alignment vertical="center" shrinkToFit="1"/>
    </xf>
    <xf numFmtId="176" fontId="4" fillId="2" borderId="50" xfId="2" applyNumberFormat="1" applyFont="1" applyFill="1" applyBorder="1" applyAlignment="1">
      <alignment vertical="center" shrinkToFit="1"/>
    </xf>
    <xf numFmtId="38" fontId="4" fillId="2" borderId="51" xfId="1" applyFont="1" applyFill="1" applyBorder="1" applyAlignment="1">
      <alignment vertical="center" shrinkToFit="1"/>
    </xf>
    <xf numFmtId="38" fontId="4" fillId="2" borderId="48" xfId="1" applyFont="1" applyFill="1" applyBorder="1" applyAlignment="1">
      <alignment vertical="center" shrinkToFit="1"/>
    </xf>
    <xf numFmtId="40" fontId="4" fillId="2" borderId="21" xfId="1" applyNumberFormat="1" applyFont="1" applyFill="1" applyBorder="1" applyAlignment="1">
      <alignment vertical="center" shrinkToFit="1"/>
    </xf>
    <xf numFmtId="0" fontId="4" fillId="0" borderId="18" xfId="3" applyFont="1" applyFill="1" applyBorder="1" applyAlignment="1">
      <alignment horizontal="distributed" vertical="center" justifyLastLine="1"/>
    </xf>
    <xf numFmtId="38" fontId="4" fillId="0" borderId="35" xfId="3" applyNumberFormat="1" applyFont="1" applyFill="1" applyBorder="1" applyAlignment="1">
      <alignment vertical="center" shrinkToFit="1"/>
    </xf>
    <xf numFmtId="0" fontId="6" fillId="0" borderId="0" xfId="0" applyFont="1" applyAlignment="1">
      <alignment horizontal="center" vertical="center" wrapText="1"/>
    </xf>
    <xf numFmtId="0" fontId="4" fillId="0" borderId="3" xfId="3" applyFont="1" applyFill="1" applyBorder="1" applyAlignment="1">
      <alignment horizontal="distributed" vertical="center" justifyLastLine="1"/>
    </xf>
    <xf numFmtId="0" fontId="4" fillId="0" borderId="12" xfId="3" applyFont="1" applyFill="1" applyBorder="1" applyAlignment="1">
      <alignment horizontal="distributed" vertical="center" justifyLastLine="1"/>
    </xf>
    <xf numFmtId="0" fontId="4" fillId="0" borderId="1" xfId="3" applyFont="1" applyBorder="1" applyAlignment="1">
      <alignment horizontal="center" vertical="center" justifyLastLine="1"/>
    </xf>
    <xf numFmtId="0" fontId="4" fillId="0" borderId="9" xfId="3" applyFont="1" applyBorder="1" applyAlignment="1">
      <alignment horizontal="center" vertical="center" justifyLastLine="1"/>
    </xf>
    <xf numFmtId="0" fontId="4" fillId="0" borderId="2" xfId="3" applyFont="1" applyFill="1" applyBorder="1" applyAlignment="1">
      <alignment horizontal="distributed" vertical="center" justifyLastLine="1"/>
    </xf>
    <xf numFmtId="0" fontId="4" fillId="0" borderId="10" xfId="3" applyFont="1" applyFill="1" applyBorder="1" applyAlignment="1">
      <alignment horizontal="distributed" vertical="center" justifyLastLine="1"/>
    </xf>
    <xf numFmtId="0" fontId="4" fillId="0" borderId="8" xfId="3" applyFont="1" applyFill="1" applyBorder="1" applyAlignment="1">
      <alignment horizontal="distributed" vertical="center" justifyLastLine="1"/>
    </xf>
    <xf numFmtId="0" fontId="4" fillId="0" borderId="16" xfId="3" applyFont="1" applyFill="1" applyBorder="1" applyAlignment="1">
      <alignment horizontal="distributed" vertical="center" justifyLastLine="1"/>
    </xf>
  </cellXfs>
  <cellStyles count="7">
    <cellStyle name="パーセント" xfId="2" builtinId="5"/>
    <cellStyle name="パーセント 2" xfId="5" xr:uid="{00000000-0005-0000-0000-000001000000}"/>
    <cellStyle name="桁区切り" xfId="1" builtinId="6"/>
    <cellStyle name="桁区切り 2" xfId="6" xr:uid="{00000000-0005-0000-0000-000003000000}"/>
    <cellStyle name="標準" xfId="0" builtinId="0"/>
    <cellStyle name="標準 2" xfId="4" xr:uid="{00000000-0005-0000-0000-000005000000}"/>
    <cellStyle name="標準_主要五品目（下半期）" xfId="3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業手順"/>
      <sheetName val="港別ﾃﾞｰﾀﾍﾞｰｽ"/>
      <sheetName val="関東当年度"/>
      <sheetName val="関東前年度"/>
      <sheetName val="関東前々年度"/>
      <sheetName val="横浜当年度"/>
      <sheetName val="横浜前年度"/>
      <sheetName val="横浜前々年度"/>
      <sheetName val="東京当年度"/>
      <sheetName val="東京前年度"/>
      <sheetName val="東京前々年度"/>
      <sheetName val="川崎当年度"/>
      <sheetName val="川崎前年度"/>
      <sheetName val="川崎前々年度"/>
      <sheetName val="横須賀当年度"/>
      <sheetName val="横須賀前年度"/>
      <sheetName val="横須賀前々年度"/>
      <sheetName val="千葉当年度"/>
      <sheetName val="千葉前年度"/>
      <sheetName val="千葉前々年度"/>
      <sheetName val="木更津当年度"/>
      <sheetName val="木更津前年度"/>
      <sheetName val="木更津前々年度"/>
      <sheetName val="鹿島当年度"/>
      <sheetName val="鹿島前年度"/>
      <sheetName val="鹿島前々年度"/>
      <sheetName val="日立当年度"/>
      <sheetName val="日立前年度"/>
      <sheetName val="日立前々年度"/>
      <sheetName val="輸移出入別"/>
      <sheetName val="P1"/>
      <sheetName val="P1-2"/>
      <sheetName val="P2"/>
      <sheetName val="P2-2、3"/>
      <sheetName val="P3"/>
      <sheetName val="ｸﾞﾗﾌﾃﾞｰﾀ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P14"/>
      <sheetName val="主要５品目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2">
          <cell r="C12">
            <v>45901566</v>
          </cell>
          <cell r="H12">
            <v>1</v>
          </cell>
          <cell r="I12" t="str">
            <v>①</v>
          </cell>
        </row>
        <row r="13">
          <cell r="H13">
            <v>2</v>
          </cell>
          <cell r="I13" t="str">
            <v>②</v>
          </cell>
        </row>
        <row r="14">
          <cell r="H14">
            <v>3</v>
          </cell>
          <cell r="I14" t="str">
            <v>③</v>
          </cell>
        </row>
        <row r="15">
          <cell r="H15">
            <v>4</v>
          </cell>
          <cell r="I15" t="str">
            <v>④</v>
          </cell>
        </row>
        <row r="16">
          <cell r="H16">
            <v>5</v>
          </cell>
          <cell r="I16" t="str">
            <v>⑤</v>
          </cell>
        </row>
        <row r="17">
          <cell r="H17">
            <v>6</v>
          </cell>
          <cell r="I17" t="str">
            <v>⑥</v>
          </cell>
        </row>
        <row r="18">
          <cell r="H18">
            <v>7</v>
          </cell>
          <cell r="I18" t="str">
            <v>⑦</v>
          </cell>
        </row>
        <row r="19">
          <cell r="H19">
            <v>8</v>
          </cell>
          <cell r="I19" t="str">
            <v>⑧</v>
          </cell>
        </row>
      </sheetData>
      <sheetData sheetId="30">
        <row r="3">
          <cell r="C3" t="str">
            <v>２７年度</v>
          </cell>
        </row>
      </sheetData>
      <sheetData sheetId="31"/>
      <sheetData sheetId="32"/>
      <sheetData sheetId="33"/>
      <sheetData sheetId="34"/>
      <sheetData sheetId="35">
        <row r="3">
          <cell r="C3">
            <v>4</v>
          </cell>
        </row>
      </sheetData>
      <sheetData sheetId="36"/>
      <sheetData sheetId="37"/>
      <sheetData sheetId="38"/>
      <sheetData sheetId="39"/>
      <sheetData sheetId="40">
        <row r="11">
          <cell r="R11">
            <v>9932.685300000001</v>
          </cell>
        </row>
      </sheetData>
      <sheetData sheetId="41"/>
      <sheetData sheetId="42"/>
      <sheetData sheetId="43">
        <row r="11">
          <cell r="R11">
            <v>730.92729999999995</v>
          </cell>
        </row>
      </sheetData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11"/>
  <sheetViews>
    <sheetView tabSelected="1" zoomScaleNormal="100" workbookViewId="0"/>
  </sheetViews>
  <sheetFormatPr defaultRowHeight="13.2" x14ac:dyDescent="0.2"/>
  <cols>
    <col min="2" max="22" width="6.6640625" customWidth="1"/>
    <col min="24" max="24" width="12.6640625" customWidth="1"/>
    <col min="25" max="25" width="11.5546875" customWidth="1"/>
    <col min="26" max="26" width="12.109375" customWidth="1"/>
  </cols>
  <sheetData>
    <row r="2" spans="1:22" ht="20.100000000000001" customHeight="1" x14ac:dyDescent="0.2">
      <c r="B2" s="69" t="s">
        <v>17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2" ht="18" customHeight="1" thickBo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2"/>
      <c r="P3" s="2"/>
      <c r="Q3" s="2"/>
      <c r="R3" s="2"/>
      <c r="S3" s="2"/>
      <c r="T3" s="3" t="s">
        <v>2</v>
      </c>
      <c r="U3" s="3"/>
      <c r="V3" s="2"/>
    </row>
    <row r="4" spans="1:22" ht="24.9" customHeight="1" x14ac:dyDescent="0.2">
      <c r="A4" s="72" t="s">
        <v>3</v>
      </c>
      <c r="B4" s="74" t="s">
        <v>4</v>
      </c>
      <c r="C4" s="34"/>
      <c r="D4" s="15"/>
      <c r="E4" s="70" t="s">
        <v>5</v>
      </c>
      <c r="F4" s="16"/>
      <c r="G4" s="17"/>
      <c r="H4" s="70" t="s">
        <v>6</v>
      </c>
      <c r="I4" s="34"/>
      <c r="J4" s="18"/>
      <c r="K4" s="70" t="s">
        <v>7</v>
      </c>
      <c r="L4" s="34"/>
      <c r="M4" s="19"/>
      <c r="N4" s="76" t="s">
        <v>8</v>
      </c>
      <c r="O4" s="34"/>
      <c r="P4" s="20"/>
      <c r="Q4" s="70" t="s">
        <v>6</v>
      </c>
      <c r="R4" s="34"/>
      <c r="S4" s="20"/>
      <c r="T4" s="70" t="s">
        <v>9</v>
      </c>
      <c r="U4" s="34"/>
      <c r="V4" s="21"/>
    </row>
    <row r="5" spans="1:22" ht="24.9" customHeight="1" thickBot="1" x14ac:dyDescent="0.25">
      <c r="A5" s="73"/>
      <c r="B5" s="75"/>
      <c r="C5" s="22" t="s">
        <v>0</v>
      </c>
      <c r="D5" s="22" t="s">
        <v>10</v>
      </c>
      <c r="E5" s="71"/>
      <c r="F5" s="23" t="s">
        <v>0</v>
      </c>
      <c r="G5" s="24" t="s">
        <v>10</v>
      </c>
      <c r="H5" s="71"/>
      <c r="I5" s="25" t="s">
        <v>0</v>
      </c>
      <c r="J5" s="26" t="s">
        <v>10</v>
      </c>
      <c r="K5" s="71"/>
      <c r="L5" s="27" t="s">
        <v>0</v>
      </c>
      <c r="M5" s="28" t="s">
        <v>10</v>
      </c>
      <c r="N5" s="77"/>
      <c r="O5" s="25" t="s">
        <v>0</v>
      </c>
      <c r="P5" s="24" t="s">
        <v>10</v>
      </c>
      <c r="Q5" s="71"/>
      <c r="R5" s="25" t="s">
        <v>0</v>
      </c>
      <c r="S5" s="24" t="s">
        <v>10</v>
      </c>
      <c r="T5" s="71"/>
      <c r="U5" s="25" t="s">
        <v>0</v>
      </c>
      <c r="V5" s="26" t="s">
        <v>10</v>
      </c>
    </row>
    <row r="6" spans="1:22" ht="30" customHeight="1" x14ac:dyDescent="0.2">
      <c r="A6" s="29" t="s">
        <v>1</v>
      </c>
      <c r="B6" s="47">
        <v>11551.4578</v>
      </c>
      <c r="C6" s="48">
        <f>B6/11680.5512</f>
        <v>0.98894800444006448</v>
      </c>
      <c r="D6" s="48">
        <f>B6/11523.824</f>
        <v>1.0023979713678375</v>
      </c>
      <c r="E6" s="49">
        <v>10623</v>
      </c>
      <c r="F6" s="50">
        <f>E6/10596.7161</f>
        <v>1.0024803816344576</v>
      </c>
      <c r="G6" s="51">
        <f>E6/10399.0312</f>
        <v>1.0215374678364271</v>
      </c>
      <c r="H6" s="52">
        <f t="shared" ref="H6:H11" si="0">SUM(B6,E6)</f>
        <v>22174.4578</v>
      </c>
      <c r="I6" s="50">
        <f>H6/22277.2673</f>
        <v>0.99538500397667717</v>
      </c>
      <c r="J6" s="53">
        <f>H6/21922.8552</f>
        <v>1.0114767258965429</v>
      </c>
      <c r="K6" s="54">
        <v>306.3109</v>
      </c>
      <c r="L6" s="48">
        <f>K6/310.6823</f>
        <v>0.98592967800225506</v>
      </c>
      <c r="M6" s="48">
        <f>K6/313.0333</f>
        <v>0.97852496842987635</v>
      </c>
      <c r="N6" s="55">
        <v>237.63200000000001</v>
      </c>
      <c r="O6" s="50">
        <f>N6/232.5677</f>
        <v>1.0217755948052976</v>
      </c>
      <c r="P6" s="51">
        <f>N6/243.2593</f>
        <v>0.97686707147475971</v>
      </c>
      <c r="Q6" s="52">
        <f t="shared" ref="Q6:Q11" si="1">SUM(K6,N6)</f>
        <v>543.94290000000001</v>
      </c>
      <c r="R6" s="50">
        <f>Q6/543.25</f>
        <v>1.0012754716981132</v>
      </c>
      <c r="S6" s="51">
        <f>Q6/556.2926</f>
        <v>0.97779999230620718</v>
      </c>
      <c r="T6" s="52">
        <f t="shared" ref="T6:T11" si="2">SUM(H6,Q6)</f>
        <v>22718.400699999998</v>
      </c>
      <c r="U6" s="50">
        <f>T6/22820.5173</f>
        <v>0.99552522851881187</v>
      </c>
      <c r="V6" s="53">
        <f>T6/22479.1478</f>
        <v>1.0106433260784022</v>
      </c>
    </row>
    <row r="7" spans="1:22" ht="30" customHeight="1" x14ac:dyDescent="0.2">
      <c r="A7" s="30" t="s">
        <v>13</v>
      </c>
      <c r="B7" s="10">
        <v>253.79089999999999</v>
      </c>
      <c r="C7" s="4">
        <f>B7/236.0872</f>
        <v>1.074987970546476</v>
      </c>
      <c r="D7" s="4">
        <f>B7/225.1645</f>
        <v>1.1271354942719656</v>
      </c>
      <c r="E7" s="5">
        <v>1477.8757000000001</v>
      </c>
      <c r="F7" s="6">
        <f>E7/1486.4049</f>
        <v>0.99426185960501079</v>
      </c>
      <c r="G7" s="38">
        <f>E7/1432.0149</f>
        <v>1.032025365099204</v>
      </c>
      <c r="H7" s="45">
        <f t="shared" ref="H7:H10" si="3">SUM(B7,E7)</f>
        <v>1731.6666</v>
      </c>
      <c r="I7" s="6">
        <f>H7/1722.4921</f>
        <v>1.0053262943847465</v>
      </c>
      <c r="J7" s="35">
        <f>H7/1657.1794</f>
        <v>1.0449481812289001</v>
      </c>
      <c r="K7" s="41">
        <v>1172.5755999999999</v>
      </c>
      <c r="L7" s="4">
        <f>K7/1086.3333</f>
        <v>1.0793884344703415</v>
      </c>
      <c r="M7" s="4">
        <f>K7/989.1902</f>
        <v>1.1853894225802075</v>
      </c>
      <c r="N7" s="11">
        <v>521.77959999999996</v>
      </c>
      <c r="O7" s="6">
        <f>N7/482.8939</f>
        <v>1.0805263847814188</v>
      </c>
      <c r="P7" s="38">
        <f>N7/470.9373</f>
        <v>1.1079598069636871</v>
      </c>
      <c r="Q7" s="45">
        <f t="shared" ref="Q7:Q10" si="4">SUM(K7,N7)</f>
        <v>1694.3552</v>
      </c>
      <c r="R7" s="6">
        <f>Q7/1569.2272</f>
        <v>1.0797386127388053</v>
      </c>
      <c r="S7" s="38">
        <f>Q7/1460.1275</f>
        <v>1.1604159225821031</v>
      </c>
      <c r="T7" s="45">
        <f t="shared" ref="T7:T10" si="5">SUM(H7,Q7)</f>
        <v>3426.0218</v>
      </c>
      <c r="U7" s="6">
        <f>T7/3291.7193</f>
        <v>1.0408001071051227</v>
      </c>
      <c r="V7" s="35">
        <f>T7/3117.3069</f>
        <v>1.0990325655776785</v>
      </c>
    </row>
    <row r="8" spans="1:22" ht="30" customHeight="1" x14ac:dyDescent="0.2">
      <c r="A8" s="31" t="s">
        <v>11</v>
      </c>
      <c r="B8" s="7">
        <v>2703.9703</v>
      </c>
      <c r="C8" s="8">
        <f>B8/2909.3248</f>
        <v>0.92941506565372145</v>
      </c>
      <c r="D8" s="8">
        <f>B8/3514.114</f>
        <v>0.76946004028326909</v>
      </c>
      <c r="E8" s="66">
        <v>0</v>
      </c>
      <c r="F8" s="9" t="s">
        <v>16</v>
      </c>
      <c r="G8" s="44">
        <f>E8/0.2085</f>
        <v>0</v>
      </c>
      <c r="H8" s="46">
        <f t="shared" ref="H8:H9" si="6">SUM(B8,E8)</f>
        <v>2703.9703</v>
      </c>
      <c r="I8" s="9">
        <f>H8/2909.3248</f>
        <v>0.92941506565372145</v>
      </c>
      <c r="J8" s="36">
        <f>H8/3514.3225</f>
        <v>0.76941438925994976</v>
      </c>
      <c r="K8" s="42">
        <v>30.867799999999999</v>
      </c>
      <c r="L8" s="8">
        <f>K8/36.4822</f>
        <v>0.84610577212997018</v>
      </c>
      <c r="M8" s="8">
        <f>K8/60.9655</f>
        <v>0.50631586717077692</v>
      </c>
      <c r="N8" s="66">
        <v>0.155</v>
      </c>
      <c r="O8" s="9">
        <f>N8/7.8361</f>
        <v>1.9780247827363102E-2</v>
      </c>
      <c r="P8" s="44">
        <f>N8/1.4284</f>
        <v>0.10851302156258752</v>
      </c>
      <c r="Q8" s="46">
        <f t="shared" ref="Q8:Q9" si="7">SUM(K8,N8)</f>
        <v>31.0228</v>
      </c>
      <c r="R8" s="9">
        <f>Q8/44.3183</f>
        <v>0.69999977435957605</v>
      </c>
      <c r="S8" s="44">
        <f>Q8/62.3939</f>
        <v>0.49720886176373008</v>
      </c>
      <c r="T8" s="46">
        <f t="shared" ref="T8:T9" si="8">SUM(H8,Q8)</f>
        <v>2734.9931000000001</v>
      </c>
      <c r="U8" s="9">
        <f>T8/2953.6431</f>
        <v>0.9259727757900067</v>
      </c>
      <c r="V8" s="36">
        <f>T8/3576.7164</f>
        <v>0.76466590977131998</v>
      </c>
    </row>
    <row r="9" spans="1:22" ht="30" customHeight="1" x14ac:dyDescent="0.2">
      <c r="A9" s="67" t="s">
        <v>14</v>
      </c>
      <c r="B9" s="10">
        <v>2639.2006000000001</v>
      </c>
      <c r="C9" s="4">
        <f>B9/2576.4803</f>
        <v>1.0243434036736085</v>
      </c>
      <c r="D9" s="4">
        <f>B9/2729.4488</f>
        <v>0.96693537537688934</v>
      </c>
      <c r="E9" s="5">
        <v>1.7950999999999999</v>
      </c>
      <c r="F9" s="6">
        <f>E9/3.7287</f>
        <v>0.48142784348432427</v>
      </c>
      <c r="G9" s="38">
        <f>E9/4.7671</f>
        <v>0.37656017285141907</v>
      </c>
      <c r="H9" s="68">
        <f t="shared" si="6"/>
        <v>2640.9956999999999</v>
      </c>
      <c r="I9" s="6">
        <f>H9/2580.209</f>
        <v>1.0235588279864152</v>
      </c>
      <c r="J9" s="35">
        <f>H9/2734.2159</f>
        <v>0.96590605738193525</v>
      </c>
      <c r="K9" s="41">
        <v>203.4127</v>
      </c>
      <c r="L9" s="4">
        <f>K9/227.5761</f>
        <v>0.89382276961420815</v>
      </c>
      <c r="M9" s="4">
        <f>K9/306.2207</f>
        <v>0.66426828754555123</v>
      </c>
      <c r="N9" s="11">
        <v>222.09780000000001</v>
      </c>
      <c r="O9" s="6">
        <f>N9/125.8736</f>
        <v>1.7644510048175313</v>
      </c>
      <c r="P9" s="38">
        <f>N9/109.9802</f>
        <v>2.0194344072842205</v>
      </c>
      <c r="Q9" s="68">
        <f t="shared" si="7"/>
        <v>425.51049999999998</v>
      </c>
      <c r="R9" s="6">
        <f>Q9/353.4497</f>
        <v>1.2038785151041294</v>
      </c>
      <c r="S9" s="38">
        <f>Q9/416.2009</f>
        <v>1.0223680438941867</v>
      </c>
      <c r="T9" s="45">
        <f t="shared" si="8"/>
        <v>3066.5061999999998</v>
      </c>
      <c r="U9" s="6">
        <f>T9/2933.6587</f>
        <v>1.0452838975440462</v>
      </c>
      <c r="V9" s="35">
        <f>T9/3150.4168</f>
        <v>0.97336523852970813</v>
      </c>
    </row>
    <row r="10" spans="1:22" ht="30" customHeight="1" thickBot="1" x14ac:dyDescent="0.25">
      <c r="A10" s="56" t="s">
        <v>12</v>
      </c>
      <c r="B10" s="57">
        <v>143.4521</v>
      </c>
      <c r="C10" s="58">
        <f>B10/147.0371</f>
        <v>0.97561839834980413</v>
      </c>
      <c r="D10" s="58">
        <f>B10/189.2322</f>
        <v>0.7580744714694434</v>
      </c>
      <c r="E10" s="59">
        <v>931.35450000000003</v>
      </c>
      <c r="F10" s="60">
        <f>E10/861.4856</f>
        <v>1.0811028065936332</v>
      </c>
      <c r="G10" s="61">
        <f>E10/953.3438</f>
        <v>0.97693455393531703</v>
      </c>
      <c r="H10" s="62">
        <f t="shared" si="3"/>
        <v>1074.8066000000001</v>
      </c>
      <c r="I10" s="60">
        <f>H10/1008.5227</f>
        <v>1.0657237561435158</v>
      </c>
      <c r="J10" s="63">
        <f>H10/1142.576</f>
        <v>0.94068718404727569</v>
      </c>
      <c r="K10" s="64">
        <v>669.42690000000005</v>
      </c>
      <c r="L10" s="58">
        <f>K10/725.082</f>
        <v>0.92324302630599031</v>
      </c>
      <c r="M10" s="58">
        <f>K10/719.0682</f>
        <v>0.93096440643599587</v>
      </c>
      <c r="N10" s="65">
        <v>547.57730000000004</v>
      </c>
      <c r="O10" s="60">
        <f>N10/590.7719</f>
        <v>0.92688447097771587</v>
      </c>
      <c r="P10" s="61">
        <f>N10/697.2059</f>
        <v>0.78538821888914023</v>
      </c>
      <c r="Q10" s="62">
        <f t="shared" si="4"/>
        <v>1217.0042000000001</v>
      </c>
      <c r="R10" s="60">
        <f>Q10/1315.8539</f>
        <v>0.92487790627819699</v>
      </c>
      <c r="S10" s="61">
        <f>Q10/1416.2741</f>
        <v>0.85929990529375633</v>
      </c>
      <c r="T10" s="62">
        <f t="shared" si="5"/>
        <v>2291.8108000000002</v>
      </c>
      <c r="U10" s="60">
        <f>T10/2324.3766</f>
        <v>0.98598944766523644</v>
      </c>
      <c r="V10" s="63">
        <f>T10/2558.8501</f>
        <v>0.89564089744842812</v>
      </c>
    </row>
    <row r="11" spans="1:22" ht="30" customHeight="1" thickTop="1" thickBot="1" x14ac:dyDescent="0.25">
      <c r="A11" s="32" t="s">
        <v>15</v>
      </c>
      <c r="B11" s="12">
        <f>SUM(B6:B10)</f>
        <v>17291.8717</v>
      </c>
      <c r="C11" s="13">
        <f>B11/17549.4806</f>
        <v>0.98532099576781784</v>
      </c>
      <c r="D11" s="13">
        <f>B11/18181.7835</f>
        <v>0.95105475763695013</v>
      </c>
      <c r="E11" s="33">
        <f>SUM(E6:E10)</f>
        <v>13034.025299999999</v>
      </c>
      <c r="F11" s="14">
        <f>E11/12948.3353</f>
        <v>1.0066178391287102</v>
      </c>
      <c r="G11" s="39">
        <f>E11/12789.3655</f>
        <v>1.0191299404180763</v>
      </c>
      <c r="H11" s="40">
        <f t="shared" si="0"/>
        <v>30325.896999999997</v>
      </c>
      <c r="I11" s="14">
        <f>H11/30497.8159</f>
        <v>0.99436291108308494</v>
      </c>
      <c r="J11" s="37">
        <f>H11/30971.149</f>
        <v>0.97916602964907751</v>
      </c>
      <c r="K11" s="43">
        <f>SUM(K6:K10)</f>
        <v>2382.5938999999998</v>
      </c>
      <c r="L11" s="13">
        <f>K11/2386.1559</f>
        <v>0.99850722243253243</v>
      </c>
      <c r="M11" s="13">
        <f>K11/2388.4779</f>
        <v>0.99753650640853742</v>
      </c>
      <c r="N11" s="33">
        <f>SUM(N6:N10)</f>
        <v>1529.2417</v>
      </c>
      <c r="O11" s="14">
        <f>N11/1439.9432</f>
        <v>1.0620152933810167</v>
      </c>
      <c r="P11" s="39">
        <f>N11/1522.8111</f>
        <v>1.0042228481260742</v>
      </c>
      <c r="Q11" s="40">
        <f t="shared" si="1"/>
        <v>3911.8355999999999</v>
      </c>
      <c r="R11" s="14">
        <f>Q11/3826.0991</f>
        <v>1.0224083322880999</v>
      </c>
      <c r="S11" s="39">
        <f>Q11/3911.289</f>
        <v>1.0001397493256059</v>
      </c>
      <c r="T11" s="40">
        <f t="shared" si="2"/>
        <v>34237.732599999996</v>
      </c>
      <c r="U11" s="14">
        <f>T11/34323.915</f>
        <v>0.99748914423077883</v>
      </c>
      <c r="V11" s="37">
        <f>T11/34882.438</f>
        <v>0.98151776547269987</v>
      </c>
    </row>
  </sheetData>
  <mergeCells count="9">
    <mergeCell ref="B2:U2"/>
    <mergeCell ref="Q4:Q5"/>
    <mergeCell ref="T4:T5"/>
    <mergeCell ref="A4:A5"/>
    <mergeCell ref="B4:B5"/>
    <mergeCell ref="E4:E5"/>
    <mergeCell ref="H4:H5"/>
    <mergeCell ref="K4:K5"/>
    <mergeCell ref="N4:N5"/>
  </mergeCells>
  <phoneticPr fontId="5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主要品目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