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updateLinks="never" defaultThemeVersion="124226"/>
  <xr:revisionPtr revIDLastSave="0" documentId="13_ncr:1_{9638C7AB-B449-4B1A-B7E5-45E6727349B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輸移出入別" sheetId="1" r:id="rId1"/>
  </sheets>
  <definedNames>
    <definedName name="_xlnm.Print_Area" localSheetId="0">輸移出入別!$A$1:$V$14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1" l="1"/>
  <c r="T14" i="1"/>
  <c r="J11" i="1"/>
  <c r="U8" i="1" l="1"/>
  <c r="U13" i="1" l="1"/>
  <c r="V13" i="1"/>
  <c r="U12" i="1"/>
  <c r="V12" i="1"/>
  <c r="U11" i="1"/>
  <c r="V11" i="1"/>
  <c r="R13" i="1"/>
  <c r="S13" i="1"/>
  <c r="R12" i="1"/>
  <c r="S12" i="1"/>
  <c r="R11" i="1"/>
  <c r="S11" i="1"/>
  <c r="O13" i="1"/>
  <c r="P13" i="1"/>
  <c r="O12" i="1"/>
  <c r="P12" i="1"/>
  <c r="O11" i="1"/>
  <c r="P11" i="1"/>
  <c r="L13" i="1"/>
  <c r="L12" i="1"/>
  <c r="L11" i="1"/>
  <c r="M13" i="1"/>
  <c r="M12" i="1"/>
  <c r="M11" i="1"/>
  <c r="I13" i="1"/>
  <c r="J13" i="1"/>
  <c r="I12" i="1"/>
  <c r="J12" i="1"/>
  <c r="I11" i="1"/>
  <c r="F13" i="1"/>
  <c r="G13" i="1"/>
  <c r="F12" i="1"/>
  <c r="G12" i="1"/>
  <c r="F11" i="1"/>
  <c r="G11" i="1"/>
  <c r="C13" i="1"/>
  <c r="D13" i="1"/>
  <c r="C12" i="1"/>
  <c r="D12" i="1"/>
  <c r="C11" i="1"/>
  <c r="D11" i="1"/>
  <c r="U10" i="1"/>
  <c r="V10" i="1"/>
  <c r="R10" i="1"/>
  <c r="S10" i="1"/>
  <c r="O10" i="1"/>
  <c r="P10" i="1"/>
  <c r="L10" i="1"/>
  <c r="M10" i="1"/>
  <c r="I10" i="1"/>
  <c r="J10" i="1"/>
  <c r="F10" i="1"/>
  <c r="G10" i="1"/>
  <c r="C10" i="1"/>
  <c r="D10" i="1"/>
  <c r="U9" i="1"/>
  <c r="V9" i="1"/>
  <c r="R9" i="1"/>
  <c r="S9" i="1"/>
  <c r="O9" i="1"/>
  <c r="P9" i="1"/>
  <c r="L9" i="1"/>
  <c r="M9" i="1"/>
  <c r="I9" i="1"/>
  <c r="J9" i="1"/>
  <c r="F9" i="1"/>
  <c r="G9" i="1"/>
  <c r="C9" i="1"/>
  <c r="D9" i="1"/>
  <c r="V8" i="1"/>
  <c r="R8" i="1"/>
  <c r="S8" i="1"/>
  <c r="O8" i="1"/>
  <c r="P8" i="1"/>
  <c r="L8" i="1"/>
  <c r="M8" i="1"/>
  <c r="I8" i="1"/>
  <c r="J8" i="1"/>
  <c r="F8" i="1"/>
  <c r="G8" i="1"/>
  <c r="C8" i="1"/>
  <c r="D8" i="1"/>
  <c r="U7" i="1"/>
  <c r="V7" i="1"/>
  <c r="R7" i="1"/>
  <c r="S7" i="1"/>
  <c r="O7" i="1"/>
  <c r="P7" i="1"/>
  <c r="L7" i="1"/>
  <c r="M7" i="1"/>
  <c r="I7" i="1"/>
  <c r="J7" i="1"/>
  <c r="F7" i="1"/>
  <c r="G7" i="1"/>
  <c r="C7" i="1"/>
  <c r="D7" i="1"/>
  <c r="V6" i="1" l="1"/>
  <c r="R6" i="1"/>
  <c r="S6" i="1"/>
  <c r="O6" i="1"/>
  <c r="P6" i="1"/>
  <c r="L6" i="1"/>
  <c r="M6" i="1"/>
  <c r="I6" i="1"/>
  <c r="J6" i="1"/>
  <c r="F6" i="1"/>
  <c r="G6" i="1"/>
  <c r="C6" i="1"/>
  <c r="D6" i="1"/>
  <c r="E14" i="1" l="1"/>
  <c r="F14" i="1" s="1"/>
  <c r="G14" i="1" l="1"/>
  <c r="N14" i="1" l="1"/>
  <c r="O14" i="1" s="1"/>
  <c r="B14" i="1"/>
  <c r="C14" i="1" s="1"/>
  <c r="K14" i="1"/>
  <c r="L14" i="1" s="1"/>
  <c r="P14" i="1" l="1"/>
  <c r="M14" i="1"/>
  <c r="D14" i="1"/>
  <c r="Q14" i="1"/>
  <c r="R14" i="1" s="1"/>
  <c r="H14" i="1"/>
  <c r="I14" i="1" s="1"/>
  <c r="U14" i="1" l="1"/>
  <c r="S14" i="1"/>
  <c r="J14" i="1"/>
  <c r="V14" i="1" l="1"/>
</calcChain>
</file>

<file path=xl/sharedStrings.xml><?xml version="1.0" encoding="utf-8"?>
<sst xmlns="http://schemas.openxmlformats.org/spreadsheetml/2006/main" count="34" uniqueCount="22">
  <si>
    <t>表２</t>
    <rPh sb="0" eb="1">
      <t>ヒョウ</t>
    </rPh>
    <phoneticPr fontId="6"/>
  </si>
  <si>
    <t>（単位：万トン）</t>
    <rPh sb="1" eb="3">
      <t>タンイ</t>
    </rPh>
    <rPh sb="4" eb="5">
      <t>マン</t>
    </rPh>
    <phoneticPr fontId="6"/>
  </si>
  <si>
    <t>港名</t>
    <rPh sb="0" eb="1">
      <t>ミナト</t>
    </rPh>
    <rPh sb="1" eb="2">
      <t>メイ</t>
    </rPh>
    <phoneticPr fontId="6"/>
  </si>
  <si>
    <t>輸入</t>
    <rPh sb="0" eb="2">
      <t>ユニュウ</t>
    </rPh>
    <phoneticPr fontId="6"/>
  </si>
  <si>
    <t>輸出</t>
    <rPh sb="0" eb="2">
      <t>ユシュツ</t>
    </rPh>
    <phoneticPr fontId="6"/>
  </si>
  <si>
    <t>小計</t>
    <rPh sb="0" eb="2">
      <t>ショウケイ</t>
    </rPh>
    <phoneticPr fontId="6"/>
  </si>
  <si>
    <t>移入</t>
    <rPh sb="0" eb="2">
      <t>イニュウ</t>
    </rPh>
    <phoneticPr fontId="6"/>
  </si>
  <si>
    <t>移出</t>
    <rPh sb="0" eb="2">
      <t>イシュツ</t>
    </rPh>
    <phoneticPr fontId="6"/>
  </si>
  <si>
    <t>合計</t>
    <rPh sb="0" eb="2">
      <t>ゴウケイ</t>
    </rPh>
    <phoneticPr fontId="6"/>
  </si>
  <si>
    <t>前年度比</t>
    <rPh sb="0" eb="2">
      <t>ゼンネン</t>
    </rPh>
    <rPh sb="2" eb="3">
      <t>ド</t>
    </rPh>
    <rPh sb="3" eb="4">
      <t>ヒ</t>
    </rPh>
    <phoneticPr fontId="6"/>
  </si>
  <si>
    <t>前々年度比</t>
    <rPh sb="0" eb="5">
      <t>ゼンゼンネンドヒ</t>
    </rPh>
    <phoneticPr fontId="6"/>
  </si>
  <si>
    <t>前年度比</t>
    <rPh sb="0" eb="4">
      <t>ゼンネンドヒ</t>
    </rPh>
    <phoneticPr fontId="6"/>
  </si>
  <si>
    <t>横浜</t>
  </si>
  <si>
    <t>東京</t>
  </si>
  <si>
    <t>川崎</t>
  </si>
  <si>
    <t>横須賀</t>
  </si>
  <si>
    <t>千葉</t>
  </si>
  <si>
    <t>木更津</t>
  </si>
  <si>
    <t>鹿島</t>
  </si>
  <si>
    <t>日立</t>
  </si>
  <si>
    <t>合計</t>
  </si>
  <si>
    <t>令和６年度　関東運輸局管内港別船舶積卸し実績（輸移出入別）</t>
    <rPh sb="0" eb="2">
      <t>レイワ</t>
    </rPh>
    <rPh sb="3" eb="5">
      <t>ネンド</t>
    </rPh>
    <rPh sb="6" eb="8">
      <t>カントウ</t>
    </rPh>
    <rPh sb="8" eb="11">
      <t>ウンユキョク</t>
    </rPh>
    <rPh sb="11" eb="13">
      <t>カンナイ</t>
    </rPh>
    <rPh sb="13" eb="14">
      <t>ミナト</t>
    </rPh>
    <rPh sb="14" eb="15">
      <t>ベツ</t>
    </rPh>
    <rPh sb="15" eb="17">
      <t>センパク</t>
    </rPh>
    <rPh sb="17" eb="19">
      <t>ツミオロ</t>
    </rPh>
    <rPh sb="20" eb="22">
      <t>ジッセキ</t>
    </rPh>
    <rPh sb="23" eb="24">
      <t>ユ</t>
    </rPh>
    <rPh sb="24" eb="26">
      <t>イシュツ</t>
    </rPh>
    <rPh sb="26" eb="27">
      <t>ニュウ</t>
    </rPh>
    <rPh sb="27" eb="28">
      <t>ベツ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</si>
</sst>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55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2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81">
    <xf numFmtId="0" fontId="0" fillId="0" borderId="0" xfId="0"/>
    <xf numFmtId="0" fontId="3" fillId="0" borderId="0" xfId="2" applyFont="1" applyAlignment="1">
      <alignment horizontal="distributed" justifyLastLine="1"/>
    </xf>
    <xf numFmtId="0" fontId="4" fillId="0" borderId="0" xfId="2" applyFont="1"/>
    <xf numFmtId="0" fontId="5" fillId="0" borderId="0" xfId="2" applyFont="1" applyAlignment="1">
      <alignment horizontal="distributed" vertical="center" justifyLastLine="1"/>
    </xf>
    <xf numFmtId="0" fontId="3" fillId="0" borderId="0" xfId="2" applyFont="1"/>
    <xf numFmtId="0" fontId="3" fillId="0" borderId="0" xfId="2" applyFont="1" applyAlignment="1">
      <alignment horizontal="right"/>
    </xf>
    <xf numFmtId="0" fontId="3" fillId="0" borderId="10" xfId="2" applyFont="1" applyBorder="1" applyAlignment="1">
      <alignment horizontal="center"/>
    </xf>
    <xf numFmtId="0" fontId="7" fillId="0" borderId="11" xfId="2" applyFont="1" applyBorder="1" applyAlignment="1">
      <alignment horizontal="center"/>
    </xf>
    <xf numFmtId="0" fontId="7" fillId="0" borderId="12" xfId="2" applyFont="1" applyBorder="1" applyAlignment="1">
      <alignment horizontal="center" shrinkToFit="1"/>
    </xf>
    <xf numFmtId="0" fontId="3" fillId="0" borderId="13" xfId="2" applyFont="1" applyBorder="1" applyAlignment="1">
      <alignment horizontal="center"/>
    </xf>
    <xf numFmtId="0" fontId="7" fillId="0" borderId="14" xfId="2" applyFont="1" applyBorder="1" applyAlignment="1">
      <alignment horizontal="center" shrinkToFit="1"/>
    </xf>
    <xf numFmtId="0" fontId="7" fillId="0" borderId="15" xfId="2" applyFont="1" applyBorder="1" applyAlignment="1">
      <alignment horizontal="center" shrinkToFit="1"/>
    </xf>
    <xf numFmtId="0" fontId="7" fillId="0" borderId="16" xfId="2" applyFont="1" applyBorder="1" applyAlignment="1">
      <alignment horizontal="center"/>
    </xf>
    <xf numFmtId="0" fontId="3" fillId="0" borderId="1" xfId="2" applyFont="1" applyBorder="1" applyAlignment="1">
      <alignment horizontal="distributed" vertical="center" justifyLastLine="1"/>
    </xf>
    <xf numFmtId="176" fontId="3" fillId="2" borderId="17" xfId="2" applyNumberFormat="1" applyFont="1" applyFill="1" applyBorder="1" applyAlignment="1">
      <alignment horizontal="right" vertical="center" justifyLastLine="1"/>
    </xf>
    <xf numFmtId="177" fontId="3" fillId="2" borderId="18" xfId="2" applyNumberFormat="1" applyFont="1" applyFill="1" applyBorder="1" applyAlignment="1">
      <alignment horizontal="right" vertical="center" justifyLastLine="1"/>
    </xf>
    <xf numFmtId="177" fontId="3" fillId="2" borderId="19" xfId="2" applyNumberFormat="1" applyFont="1" applyFill="1" applyBorder="1" applyAlignment="1">
      <alignment horizontal="right" vertical="center" justifyLastLine="1"/>
    </xf>
    <xf numFmtId="176" fontId="3" fillId="2" borderId="20" xfId="2" applyNumberFormat="1" applyFont="1" applyFill="1" applyBorder="1" applyAlignment="1">
      <alignment horizontal="right" vertical="center" justifyLastLine="1"/>
    </xf>
    <xf numFmtId="177" fontId="3" fillId="2" borderId="21" xfId="2" applyNumberFormat="1" applyFont="1" applyFill="1" applyBorder="1" applyAlignment="1">
      <alignment horizontal="right" vertical="center" justifyLastLine="1"/>
    </xf>
    <xf numFmtId="177" fontId="3" fillId="2" borderId="22" xfId="2" applyNumberFormat="1" applyFont="1" applyFill="1" applyBorder="1" applyAlignment="1">
      <alignment horizontal="right" vertical="center" justifyLastLine="1"/>
    </xf>
    <xf numFmtId="177" fontId="3" fillId="2" borderId="23" xfId="2" applyNumberFormat="1" applyFont="1" applyFill="1" applyBorder="1" applyAlignment="1">
      <alignment horizontal="right" vertical="center" justifyLastLine="1"/>
    </xf>
    <xf numFmtId="0" fontId="3" fillId="0" borderId="24" xfId="2" applyFont="1" applyBorder="1" applyAlignment="1">
      <alignment horizontal="distributed" vertical="center" justifyLastLine="1"/>
    </xf>
    <xf numFmtId="176" fontId="3" fillId="0" borderId="17" xfId="2" applyNumberFormat="1" applyFont="1" applyFill="1" applyBorder="1" applyAlignment="1">
      <alignment horizontal="right" vertical="center" justifyLastLine="1"/>
    </xf>
    <xf numFmtId="177" fontId="3" fillId="0" borderId="18" xfId="2" applyNumberFormat="1" applyFont="1" applyFill="1" applyBorder="1" applyAlignment="1">
      <alignment horizontal="right" vertical="center" justifyLastLine="1"/>
    </xf>
    <xf numFmtId="177" fontId="3" fillId="0" borderId="19" xfId="2" applyNumberFormat="1" applyFont="1" applyFill="1" applyBorder="1" applyAlignment="1">
      <alignment horizontal="right" vertical="center" justifyLastLine="1"/>
    </xf>
    <xf numFmtId="176" fontId="3" fillId="0" borderId="20" xfId="2" applyNumberFormat="1" applyFont="1" applyFill="1" applyBorder="1" applyAlignment="1">
      <alignment horizontal="right" vertical="center" justifyLastLine="1"/>
    </xf>
    <xf numFmtId="177" fontId="3" fillId="0" borderId="21" xfId="2" applyNumberFormat="1" applyFont="1" applyFill="1" applyBorder="1" applyAlignment="1">
      <alignment horizontal="right" vertical="center" justifyLastLine="1"/>
    </xf>
    <xf numFmtId="177" fontId="3" fillId="0" borderId="22" xfId="2" applyNumberFormat="1" applyFont="1" applyFill="1" applyBorder="1" applyAlignment="1">
      <alignment horizontal="right" vertical="center" justifyLastLine="1"/>
    </xf>
    <xf numFmtId="177" fontId="3" fillId="0" borderId="23" xfId="2" applyNumberFormat="1" applyFont="1" applyFill="1" applyBorder="1" applyAlignment="1">
      <alignment horizontal="right" vertical="center" justifyLastLine="1"/>
    </xf>
    <xf numFmtId="0" fontId="3" fillId="0" borderId="24" xfId="2" applyFont="1" applyBorder="1" applyAlignment="1">
      <alignment horizontal="center" vertical="center" justifyLastLine="1"/>
    </xf>
    <xf numFmtId="177" fontId="3" fillId="0" borderId="25" xfId="2" applyNumberFormat="1" applyFont="1" applyFill="1" applyBorder="1" applyAlignment="1">
      <alignment horizontal="right" vertical="center" justifyLastLine="1"/>
    </xf>
    <xf numFmtId="176" fontId="3" fillId="0" borderId="0" xfId="2" applyNumberFormat="1" applyFont="1" applyFill="1" applyBorder="1" applyAlignment="1">
      <alignment horizontal="right" vertical="center" justifyLastLine="1"/>
    </xf>
    <xf numFmtId="0" fontId="3" fillId="0" borderId="26" xfId="2" applyFont="1" applyBorder="1" applyAlignment="1">
      <alignment horizontal="distributed" vertical="center" justifyLastLine="1"/>
    </xf>
    <xf numFmtId="176" fontId="3" fillId="0" borderId="27" xfId="2" applyNumberFormat="1" applyFont="1" applyFill="1" applyBorder="1" applyAlignment="1">
      <alignment horizontal="right" vertical="center" justifyLastLine="1"/>
    </xf>
    <xf numFmtId="177" fontId="3" fillId="0" borderId="28" xfId="2" applyNumberFormat="1" applyFont="1" applyFill="1" applyBorder="1" applyAlignment="1">
      <alignment horizontal="right" vertical="center" justifyLastLine="1"/>
    </xf>
    <xf numFmtId="177" fontId="3" fillId="0" borderId="29" xfId="2" applyNumberFormat="1" applyFont="1" applyFill="1" applyBorder="1" applyAlignment="1">
      <alignment horizontal="right" vertical="center" justifyLastLine="1"/>
    </xf>
    <xf numFmtId="177" fontId="3" fillId="0" borderId="30" xfId="2" applyNumberFormat="1" applyFont="1" applyFill="1" applyBorder="1" applyAlignment="1">
      <alignment horizontal="right" vertical="center" justifyLastLine="1"/>
    </xf>
    <xf numFmtId="177" fontId="3" fillId="0" borderId="31" xfId="2" applyNumberFormat="1" applyFont="1" applyFill="1" applyBorder="1" applyAlignment="1">
      <alignment horizontal="right" vertical="center" justifyLastLine="1"/>
    </xf>
    <xf numFmtId="176" fontId="3" fillId="0" borderId="32" xfId="2" applyNumberFormat="1" applyFont="1" applyFill="1" applyBorder="1" applyAlignment="1">
      <alignment horizontal="right" vertical="center" justifyLastLine="1"/>
    </xf>
    <xf numFmtId="177" fontId="3" fillId="0" borderId="33" xfId="2" applyNumberFormat="1" applyFont="1" applyFill="1" applyBorder="1" applyAlignment="1">
      <alignment horizontal="right" vertical="center" justifyLastLine="1"/>
    </xf>
    <xf numFmtId="0" fontId="3" fillId="0" borderId="9" xfId="2" applyFont="1" applyBorder="1" applyAlignment="1">
      <alignment horizontal="distributed" vertical="center" justifyLastLine="1"/>
    </xf>
    <xf numFmtId="176" fontId="3" fillId="2" borderId="10" xfId="2" applyNumberFormat="1" applyFont="1" applyFill="1" applyBorder="1" applyAlignment="1">
      <alignment horizontal="right" vertical="center" justifyLastLine="1"/>
    </xf>
    <xf numFmtId="177" fontId="3" fillId="2" borderId="34" xfId="1" applyNumberFormat="1" applyFont="1" applyFill="1" applyBorder="1" applyAlignment="1">
      <alignment horizontal="right" vertical="center" justifyLastLine="1"/>
    </xf>
    <xf numFmtId="177" fontId="3" fillId="2" borderId="35" xfId="1" applyNumberFormat="1" applyFont="1" applyFill="1" applyBorder="1" applyAlignment="1">
      <alignment horizontal="right" vertical="center" justifyLastLine="1"/>
    </xf>
    <xf numFmtId="177" fontId="3" fillId="2" borderId="36" xfId="1" applyNumberFormat="1" applyFont="1" applyFill="1" applyBorder="1" applyAlignment="1">
      <alignment horizontal="right" vertical="center" justifyLastLine="1"/>
    </xf>
    <xf numFmtId="177" fontId="3" fillId="2" borderId="37" xfId="1" applyNumberFormat="1" applyFont="1" applyFill="1" applyBorder="1" applyAlignment="1">
      <alignment horizontal="right" vertical="center" justifyLastLine="1"/>
    </xf>
    <xf numFmtId="176" fontId="3" fillId="2" borderId="38" xfId="2" applyNumberFormat="1" applyFont="1" applyFill="1" applyBorder="1" applyAlignment="1">
      <alignment horizontal="right" vertical="center" justifyLastLine="1"/>
    </xf>
    <xf numFmtId="177" fontId="3" fillId="2" borderId="39" xfId="1" applyNumberFormat="1" applyFont="1" applyFill="1" applyBorder="1" applyAlignment="1">
      <alignment horizontal="right" vertical="center" justifyLastLine="1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distributed" vertical="center" justifyLastLine="1"/>
    </xf>
    <xf numFmtId="0" fontId="8" fillId="0" borderId="0" xfId="2" applyFont="1" applyAlignment="1"/>
    <xf numFmtId="177" fontId="3" fillId="2" borderId="40" xfId="2" applyNumberFormat="1" applyFont="1" applyFill="1" applyBorder="1" applyAlignment="1">
      <alignment horizontal="right" vertical="center" justifyLastLine="1"/>
    </xf>
    <xf numFmtId="176" fontId="3" fillId="2" borderId="41" xfId="2" applyNumberFormat="1" applyFont="1" applyFill="1" applyBorder="1" applyAlignment="1">
      <alignment horizontal="right" vertical="center" justifyLastLine="1"/>
    </xf>
    <xf numFmtId="176" fontId="3" fillId="0" borderId="42" xfId="2" applyNumberFormat="1" applyFont="1" applyFill="1" applyBorder="1" applyAlignment="1">
      <alignment horizontal="right" vertical="center" justifyLastLine="1"/>
    </xf>
    <xf numFmtId="176" fontId="3" fillId="2" borderId="42" xfId="2" applyNumberFormat="1" applyFont="1" applyFill="1" applyBorder="1" applyAlignment="1">
      <alignment horizontal="right" vertical="center" justifyLastLine="1"/>
    </xf>
    <xf numFmtId="176" fontId="3" fillId="0" borderId="43" xfId="2" applyNumberFormat="1" applyFont="1" applyFill="1" applyBorder="1" applyAlignment="1">
      <alignment horizontal="right" vertical="center" justifyLastLine="1"/>
    </xf>
    <xf numFmtId="176" fontId="3" fillId="2" borderId="44" xfId="2" applyNumberFormat="1" applyFont="1" applyFill="1" applyBorder="1" applyAlignment="1">
      <alignment horizontal="right" vertical="center" justifyLastLine="1"/>
    </xf>
    <xf numFmtId="177" fontId="3" fillId="2" borderId="45" xfId="2" applyNumberFormat="1" applyFont="1" applyFill="1" applyBorder="1" applyAlignment="1">
      <alignment horizontal="right" vertical="center" justifyLastLine="1"/>
    </xf>
    <xf numFmtId="176" fontId="3" fillId="2" borderId="46" xfId="2" applyNumberFormat="1" applyFont="1" applyFill="1" applyBorder="1" applyAlignment="1">
      <alignment horizontal="right" vertical="center" justifyLastLine="1"/>
    </xf>
    <xf numFmtId="176" fontId="3" fillId="0" borderId="47" xfId="2" applyNumberFormat="1" applyFont="1" applyFill="1" applyBorder="1" applyAlignment="1">
      <alignment horizontal="right" vertical="center" justifyLastLine="1"/>
    </xf>
    <xf numFmtId="176" fontId="3" fillId="2" borderId="47" xfId="2" applyNumberFormat="1" applyFont="1" applyFill="1" applyBorder="1" applyAlignment="1">
      <alignment horizontal="right" vertical="center" justifyLastLine="1"/>
    </xf>
    <xf numFmtId="176" fontId="3" fillId="0" borderId="48" xfId="2" applyNumberFormat="1" applyFont="1" applyFill="1" applyBorder="1" applyAlignment="1">
      <alignment horizontal="right" vertical="center" justifyLastLine="1"/>
    </xf>
    <xf numFmtId="176" fontId="3" fillId="2" borderId="49" xfId="2" applyNumberFormat="1" applyFont="1" applyFill="1" applyBorder="1" applyAlignment="1">
      <alignment horizontal="right" vertical="center" justifyLastLine="1"/>
    </xf>
    <xf numFmtId="0" fontId="3" fillId="0" borderId="3" xfId="2" applyFont="1" applyBorder="1" applyAlignment="1">
      <alignment horizontal="distributed" vertical="center" justifyLastLine="1"/>
    </xf>
    <xf numFmtId="0" fontId="2" fillId="0" borderId="3" xfId="2" applyFont="1" applyBorder="1" applyAlignment="1">
      <alignment horizontal="distributed" vertical="center" justifyLastLine="1"/>
    </xf>
    <xf numFmtId="0" fontId="2" fillId="0" borderId="8" xfId="2" applyFont="1" applyBorder="1" applyAlignment="1">
      <alignment horizontal="distributed" vertical="center" justifyLastLine="1"/>
    </xf>
    <xf numFmtId="0" fontId="8" fillId="0" borderId="0" xfId="2" applyFont="1" applyAlignment="1">
      <alignment horizontal="center"/>
    </xf>
    <xf numFmtId="0" fontId="5" fillId="0" borderId="0" xfId="2" applyFont="1" applyAlignment="1">
      <alignment horizontal="distributed" vertical="center" justifyLastLine="1"/>
    </xf>
    <xf numFmtId="0" fontId="3" fillId="0" borderId="1" xfId="2" applyFont="1" applyBorder="1" applyAlignment="1">
      <alignment horizontal="distributed" vertical="center" justifyLastLine="1"/>
    </xf>
    <xf numFmtId="0" fontId="3" fillId="0" borderId="9" xfId="2" applyFont="1" applyBorder="1" applyAlignment="1">
      <alignment horizontal="distributed" vertical="center" justifyLastLine="1"/>
    </xf>
    <xf numFmtId="0" fontId="3" fillId="0" borderId="2" xfId="2" applyFont="1" applyBorder="1" applyAlignment="1">
      <alignment horizontal="distributed" vertical="center" justifyLastLine="1"/>
    </xf>
    <xf numFmtId="0" fontId="3" fillId="0" borderId="4" xfId="2" applyFont="1" applyBorder="1" applyAlignment="1">
      <alignment horizontal="distributed" vertical="center" justifyLastLine="1"/>
    </xf>
    <xf numFmtId="0" fontId="3" fillId="0" borderId="5" xfId="2" applyFont="1" applyBorder="1" applyAlignment="1">
      <alignment horizontal="distributed" vertical="center" wrapText="1" justifyLastLine="1"/>
    </xf>
    <xf numFmtId="0" fontId="0" fillId="0" borderId="3" xfId="0" applyBorder="1" applyAlignment="1">
      <alignment horizontal="distributed"/>
    </xf>
    <xf numFmtId="0" fontId="0" fillId="0" borderId="6" xfId="0" applyBorder="1" applyAlignment="1">
      <alignment horizontal="distributed"/>
    </xf>
    <xf numFmtId="0" fontId="3" fillId="0" borderId="7" xfId="2" applyFont="1" applyBorder="1" applyAlignment="1">
      <alignment horizontal="distributed" vertical="center" justifyLastLine="1"/>
    </xf>
    <xf numFmtId="0" fontId="3" fillId="0" borderId="8" xfId="2" applyFont="1" applyBorder="1" applyAlignment="1">
      <alignment horizontal="distributed" vertical="center" justifyLastLine="1"/>
    </xf>
    <xf numFmtId="0" fontId="3" fillId="0" borderId="5" xfId="2" applyFont="1" applyBorder="1" applyAlignment="1">
      <alignment horizontal="distributed" vertical="center" justifyLastLine="1"/>
    </xf>
    <xf numFmtId="0" fontId="3" fillId="0" borderId="6" xfId="2" applyFont="1" applyBorder="1" applyAlignment="1">
      <alignment horizontal="distributed" vertical="center" justifyLastLine="1"/>
    </xf>
    <xf numFmtId="177" fontId="3" fillId="2" borderId="50" xfId="1" applyNumberFormat="1" applyFont="1" applyFill="1" applyBorder="1" applyAlignment="1">
      <alignment horizontal="right" vertical="center" justifyLastLine="1"/>
    </xf>
  </cellXfs>
  <cellStyles count="3">
    <cellStyle name="パーセント" xfId="1" builtinId="5"/>
    <cellStyle name="標準" xfId="0" builtinId="0"/>
    <cellStyle name="標準_ｐ２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14"/>
  <sheetViews>
    <sheetView tabSelected="1" zoomScale="115" zoomScaleNormal="115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2" x14ac:dyDescent="0.2"/>
  <cols>
    <col min="2" max="3" width="7.6640625" customWidth="1"/>
    <col min="4" max="4" width="8.109375" customWidth="1"/>
    <col min="5" max="5" width="7.6640625" customWidth="1"/>
    <col min="6" max="6" width="8.88671875" customWidth="1"/>
    <col min="7" max="7" width="8.21875" customWidth="1"/>
    <col min="8" max="22" width="7.6640625" customWidth="1"/>
    <col min="23" max="23" width="8.88671875" customWidth="1"/>
    <col min="253" max="253" width="4.21875" customWidth="1"/>
    <col min="255" max="275" width="7.6640625" customWidth="1"/>
    <col min="509" max="509" width="4.21875" customWidth="1"/>
    <col min="511" max="531" width="7.6640625" customWidth="1"/>
    <col min="765" max="765" width="4.21875" customWidth="1"/>
    <col min="767" max="787" width="7.6640625" customWidth="1"/>
    <col min="1021" max="1021" width="4.21875" customWidth="1"/>
    <col min="1023" max="1043" width="7.6640625" customWidth="1"/>
    <col min="1277" max="1277" width="4.21875" customWidth="1"/>
    <col min="1279" max="1299" width="7.6640625" customWidth="1"/>
    <col min="1533" max="1533" width="4.21875" customWidth="1"/>
    <col min="1535" max="1555" width="7.6640625" customWidth="1"/>
    <col min="1789" max="1789" width="4.21875" customWidth="1"/>
    <col min="1791" max="1811" width="7.6640625" customWidth="1"/>
    <col min="2045" max="2045" width="4.21875" customWidth="1"/>
    <col min="2047" max="2067" width="7.6640625" customWidth="1"/>
    <col min="2301" max="2301" width="4.21875" customWidth="1"/>
    <col min="2303" max="2323" width="7.6640625" customWidth="1"/>
    <col min="2557" max="2557" width="4.21875" customWidth="1"/>
    <col min="2559" max="2579" width="7.6640625" customWidth="1"/>
    <col min="2813" max="2813" width="4.21875" customWidth="1"/>
    <col min="2815" max="2835" width="7.6640625" customWidth="1"/>
    <col min="3069" max="3069" width="4.21875" customWidth="1"/>
    <col min="3071" max="3091" width="7.6640625" customWidth="1"/>
    <col min="3325" max="3325" width="4.21875" customWidth="1"/>
    <col min="3327" max="3347" width="7.6640625" customWidth="1"/>
    <col min="3581" max="3581" width="4.21875" customWidth="1"/>
    <col min="3583" max="3603" width="7.6640625" customWidth="1"/>
    <col min="3837" max="3837" width="4.21875" customWidth="1"/>
    <col min="3839" max="3859" width="7.6640625" customWidth="1"/>
    <col min="4093" max="4093" width="4.21875" customWidth="1"/>
    <col min="4095" max="4115" width="7.6640625" customWidth="1"/>
    <col min="4349" max="4349" width="4.21875" customWidth="1"/>
    <col min="4351" max="4371" width="7.6640625" customWidth="1"/>
    <col min="4605" max="4605" width="4.21875" customWidth="1"/>
    <col min="4607" max="4627" width="7.6640625" customWidth="1"/>
    <col min="4861" max="4861" width="4.21875" customWidth="1"/>
    <col min="4863" max="4883" width="7.6640625" customWidth="1"/>
    <col min="5117" max="5117" width="4.21875" customWidth="1"/>
    <col min="5119" max="5139" width="7.6640625" customWidth="1"/>
    <col min="5373" max="5373" width="4.21875" customWidth="1"/>
    <col min="5375" max="5395" width="7.6640625" customWidth="1"/>
    <col min="5629" max="5629" width="4.21875" customWidth="1"/>
    <col min="5631" max="5651" width="7.6640625" customWidth="1"/>
    <col min="5885" max="5885" width="4.21875" customWidth="1"/>
    <col min="5887" max="5907" width="7.6640625" customWidth="1"/>
    <col min="6141" max="6141" width="4.21875" customWidth="1"/>
    <col min="6143" max="6163" width="7.6640625" customWidth="1"/>
    <col min="6397" max="6397" width="4.21875" customWidth="1"/>
    <col min="6399" max="6419" width="7.6640625" customWidth="1"/>
    <col min="6653" max="6653" width="4.21875" customWidth="1"/>
    <col min="6655" max="6675" width="7.6640625" customWidth="1"/>
    <col min="6909" max="6909" width="4.21875" customWidth="1"/>
    <col min="6911" max="6931" width="7.6640625" customWidth="1"/>
    <col min="7165" max="7165" width="4.21875" customWidth="1"/>
    <col min="7167" max="7187" width="7.6640625" customWidth="1"/>
    <col min="7421" max="7421" width="4.21875" customWidth="1"/>
    <col min="7423" max="7443" width="7.6640625" customWidth="1"/>
    <col min="7677" max="7677" width="4.21875" customWidth="1"/>
    <col min="7679" max="7699" width="7.6640625" customWidth="1"/>
    <col min="7933" max="7933" width="4.21875" customWidth="1"/>
    <col min="7935" max="7955" width="7.6640625" customWidth="1"/>
    <col min="8189" max="8189" width="4.21875" customWidth="1"/>
    <col min="8191" max="8211" width="7.6640625" customWidth="1"/>
    <col min="8445" max="8445" width="4.21875" customWidth="1"/>
    <col min="8447" max="8467" width="7.6640625" customWidth="1"/>
    <col min="8701" max="8701" width="4.21875" customWidth="1"/>
    <col min="8703" max="8723" width="7.6640625" customWidth="1"/>
    <col min="8957" max="8957" width="4.21875" customWidth="1"/>
    <col min="8959" max="8979" width="7.6640625" customWidth="1"/>
    <col min="9213" max="9213" width="4.21875" customWidth="1"/>
    <col min="9215" max="9235" width="7.6640625" customWidth="1"/>
    <col min="9469" max="9469" width="4.21875" customWidth="1"/>
    <col min="9471" max="9491" width="7.6640625" customWidth="1"/>
    <col min="9725" max="9725" width="4.21875" customWidth="1"/>
    <col min="9727" max="9747" width="7.6640625" customWidth="1"/>
    <col min="9981" max="9981" width="4.21875" customWidth="1"/>
    <col min="9983" max="10003" width="7.6640625" customWidth="1"/>
    <col min="10237" max="10237" width="4.21875" customWidth="1"/>
    <col min="10239" max="10259" width="7.6640625" customWidth="1"/>
    <col min="10493" max="10493" width="4.21875" customWidth="1"/>
    <col min="10495" max="10515" width="7.6640625" customWidth="1"/>
    <col min="10749" max="10749" width="4.21875" customWidth="1"/>
    <col min="10751" max="10771" width="7.6640625" customWidth="1"/>
    <col min="11005" max="11005" width="4.21875" customWidth="1"/>
    <col min="11007" max="11027" width="7.6640625" customWidth="1"/>
    <col min="11261" max="11261" width="4.21875" customWidth="1"/>
    <col min="11263" max="11283" width="7.6640625" customWidth="1"/>
    <col min="11517" max="11517" width="4.21875" customWidth="1"/>
    <col min="11519" max="11539" width="7.6640625" customWidth="1"/>
    <col min="11773" max="11773" width="4.21875" customWidth="1"/>
    <col min="11775" max="11795" width="7.6640625" customWidth="1"/>
    <col min="12029" max="12029" width="4.21875" customWidth="1"/>
    <col min="12031" max="12051" width="7.6640625" customWidth="1"/>
    <col min="12285" max="12285" width="4.21875" customWidth="1"/>
    <col min="12287" max="12307" width="7.6640625" customWidth="1"/>
    <col min="12541" max="12541" width="4.21875" customWidth="1"/>
    <col min="12543" max="12563" width="7.6640625" customWidth="1"/>
    <col min="12797" max="12797" width="4.21875" customWidth="1"/>
    <col min="12799" max="12819" width="7.6640625" customWidth="1"/>
    <col min="13053" max="13053" width="4.21875" customWidth="1"/>
    <col min="13055" max="13075" width="7.6640625" customWidth="1"/>
    <col min="13309" max="13309" width="4.21875" customWidth="1"/>
    <col min="13311" max="13331" width="7.6640625" customWidth="1"/>
    <col min="13565" max="13565" width="4.21875" customWidth="1"/>
    <col min="13567" max="13587" width="7.6640625" customWidth="1"/>
    <col min="13821" max="13821" width="4.21875" customWidth="1"/>
    <col min="13823" max="13843" width="7.6640625" customWidth="1"/>
    <col min="14077" max="14077" width="4.21875" customWidth="1"/>
    <col min="14079" max="14099" width="7.6640625" customWidth="1"/>
    <col min="14333" max="14333" width="4.21875" customWidth="1"/>
    <col min="14335" max="14355" width="7.6640625" customWidth="1"/>
    <col min="14589" max="14589" width="4.21875" customWidth="1"/>
    <col min="14591" max="14611" width="7.6640625" customWidth="1"/>
    <col min="14845" max="14845" width="4.21875" customWidth="1"/>
    <col min="14847" max="14867" width="7.6640625" customWidth="1"/>
    <col min="15101" max="15101" width="4.21875" customWidth="1"/>
    <col min="15103" max="15123" width="7.6640625" customWidth="1"/>
    <col min="15357" max="15357" width="4.21875" customWidth="1"/>
    <col min="15359" max="15379" width="7.6640625" customWidth="1"/>
    <col min="15613" max="15613" width="4.21875" customWidth="1"/>
    <col min="15615" max="15635" width="7.6640625" customWidth="1"/>
    <col min="15869" max="15869" width="4.21875" customWidth="1"/>
    <col min="15871" max="15891" width="7.6640625" customWidth="1"/>
    <col min="16125" max="16125" width="4.21875" customWidth="1"/>
    <col min="16127" max="16147" width="7.6640625" customWidth="1"/>
  </cols>
  <sheetData>
    <row r="1" spans="1:60" s="2" customFormat="1" ht="13.5" customHeight="1" x14ac:dyDescent="0.3">
      <c r="A1" s="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</row>
    <row r="2" spans="1:60" s="2" customFormat="1" ht="17.25" customHeight="1" x14ac:dyDescent="0.3">
      <c r="A2" s="1"/>
      <c r="B2" s="68" t="s">
        <v>21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3"/>
      <c r="T2" s="4"/>
      <c r="U2" s="4"/>
      <c r="V2" s="5" t="s">
        <v>0</v>
      </c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</row>
    <row r="3" spans="1:60" s="2" customFormat="1" ht="13.8" thickBot="1" x14ac:dyDescent="0.25">
      <c r="A3" s="1"/>
      <c r="T3" s="4"/>
      <c r="U3" s="4" t="s">
        <v>1</v>
      </c>
      <c r="V3" s="4"/>
    </row>
    <row r="4" spans="1:60" s="48" customFormat="1" ht="20.25" customHeight="1" x14ac:dyDescent="0.2">
      <c r="A4" s="69" t="s">
        <v>2</v>
      </c>
      <c r="B4" s="71" t="s">
        <v>3</v>
      </c>
      <c r="C4" s="64"/>
      <c r="D4" s="72"/>
      <c r="E4" s="73" t="s">
        <v>4</v>
      </c>
      <c r="F4" s="74"/>
      <c r="G4" s="75"/>
      <c r="H4" s="76" t="s">
        <v>5</v>
      </c>
      <c r="I4" s="64"/>
      <c r="J4" s="77"/>
      <c r="K4" s="71" t="s">
        <v>6</v>
      </c>
      <c r="L4" s="64"/>
      <c r="M4" s="72"/>
      <c r="N4" s="78" t="s">
        <v>7</v>
      </c>
      <c r="O4" s="64"/>
      <c r="P4" s="79"/>
      <c r="Q4" s="76" t="s">
        <v>5</v>
      </c>
      <c r="R4" s="64"/>
      <c r="S4" s="79"/>
      <c r="T4" s="64" t="s">
        <v>8</v>
      </c>
      <c r="U4" s="65"/>
      <c r="V4" s="66"/>
    </row>
    <row r="5" spans="1:60" s="49" customFormat="1" ht="14.25" customHeight="1" thickBot="1" x14ac:dyDescent="0.25">
      <c r="A5" s="70"/>
      <c r="B5" s="6"/>
      <c r="C5" s="7" t="s">
        <v>9</v>
      </c>
      <c r="D5" s="8" t="s">
        <v>10</v>
      </c>
      <c r="E5" s="9"/>
      <c r="F5" s="7" t="s">
        <v>9</v>
      </c>
      <c r="G5" s="10" t="s">
        <v>10</v>
      </c>
      <c r="H5" s="9"/>
      <c r="I5" s="7" t="s">
        <v>9</v>
      </c>
      <c r="J5" s="11" t="s">
        <v>10</v>
      </c>
      <c r="K5" s="6"/>
      <c r="L5" s="7" t="s">
        <v>9</v>
      </c>
      <c r="M5" s="8" t="s">
        <v>10</v>
      </c>
      <c r="N5" s="9"/>
      <c r="O5" s="7" t="s">
        <v>9</v>
      </c>
      <c r="P5" s="10" t="s">
        <v>10</v>
      </c>
      <c r="Q5" s="9"/>
      <c r="R5" s="7" t="s">
        <v>9</v>
      </c>
      <c r="S5" s="10" t="s">
        <v>10</v>
      </c>
      <c r="T5" s="9"/>
      <c r="U5" s="12" t="s">
        <v>11</v>
      </c>
      <c r="V5" s="11" t="s">
        <v>10</v>
      </c>
    </row>
    <row r="6" spans="1:60" s="50" customFormat="1" ht="20.100000000000001" customHeight="1" x14ac:dyDescent="0.2">
      <c r="A6" s="13" t="s">
        <v>12</v>
      </c>
      <c r="B6" s="14">
        <v>5568.7960000000003</v>
      </c>
      <c r="C6" s="15">
        <f>B6/5451.0927</f>
        <v>1.0215926065612497</v>
      </c>
      <c r="D6" s="52">
        <f>B6/5171.1427</f>
        <v>1.0768985354049503</v>
      </c>
      <c r="E6" s="53">
        <v>6240.1503000000002</v>
      </c>
      <c r="F6" s="15">
        <f>E6/6297.0758</f>
        <v>0.99096001035909409</v>
      </c>
      <c r="G6" s="58">
        <f>E6/6270.3851</f>
        <v>0.99517815899377537</v>
      </c>
      <c r="H6" s="59">
        <v>11808.944799999999</v>
      </c>
      <c r="I6" s="15">
        <f>H6/11748.1685</f>
        <v>1.0051732574315733</v>
      </c>
      <c r="J6" s="19">
        <f>H6/11441.5278</f>
        <v>1.0321125820277253</v>
      </c>
      <c r="K6" s="14">
        <v>654.64520000000005</v>
      </c>
      <c r="L6" s="15">
        <f>K6/609.4399</f>
        <v>1.0741751565658895</v>
      </c>
      <c r="M6" s="52">
        <f>K6/596.3304</f>
        <v>1.0977894133855997</v>
      </c>
      <c r="N6" s="53">
        <v>328.3331</v>
      </c>
      <c r="O6" s="15">
        <f>N6/298.3456</f>
        <v>1.1005126269668466</v>
      </c>
      <c r="P6" s="58">
        <f>N6/206.0967</f>
        <v>1.5931021700007812</v>
      </c>
      <c r="Q6" s="59">
        <v>982.97829999999999</v>
      </c>
      <c r="R6" s="15">
        <f>Q6/907.7855</f>
        <v>1.0828310212048993</v>
      </c>
      <c r="S6" s="18">
        <f>Q6/799.4271</f>
        <v>1.2296034247525509</v>
      </c>
      <c r="T6" s="17">
        <v>12791.9231</v>
      </c>
      <c r="U6" s="20">
        <f>T6/12655.954</f>
        <v>1.0107434887958664</v>
      </c>
      <c r="V6" s="19">
        <f>T6/12240.9549</f>
        <v>1.0450102303701814</v>
      </c>
    </row>
    <row r="7" spans="1:60" s="50" customFormat="1" ht="20.100000000000001" customHeight="1" x14ac:dyDescent="0.2">
      <c r="A7" s="21" t="s">
        <v>13</v>
      </c>
      <c r="B7" s="22">
        <v>7197.6323000000002</v>
      </c>
      <c r="C7" s="23">
        <f>B7/6817.0192</f>
        <v>1.0558327751225933</v>
      </c>
      <c r="D7" s="24">
        <f>B7/7108.4429</f>
        <v>1.0125469672127492</v>
      </c>
      <c r="E7" s="54">
        <v>5630.0859</v>
      </c>
      <c r="F7" s="23">
        <f>E7/5463.568</f>
        <v>1.0304778672105848</v>
      </c>
      <c r="G7" s="26">
        <f>E7/5515.3186</f>
        <v>1.020808825078573</v>
      </c>
      <c r="H7" s="60">
        <v>12827.718199999999</v>
      </c>
      <c r="I7" s="23">
        <f>H7/12280.5872</f>
        <v>1.0445525113001111</v>
      </c>
      <c r="J7" s="27">
        <f>H7/12623.7615</f>
        <v>1.0161565710822402</v>
      </c>
      <c r="K7" s="22">
        <v>535.48469999999998</v>
      </c>
      <c r="L7" s="23">
        <f>K7/585.6078</f>
        <v>0.91440841464201805</v>
      </c>
      <c r="M7" s="24">
        <f>K7/620.173</f>
        <v>0.86344407125108635</v>
      </c>
      <c r="N7" s="54">
        <v>402.39760000000001</v>
      </c>
      <c r="O7" s="23">
        <f>N7/402.3444</f>
        <v>1.0001322250291045</v>
      </c>
      <c r="P7" s="26">
        <f>N7/426.6966</f>
        <v>0.94305321392296082</v>
      </c>
      <c r="Q7" s="60">
        <v>937.88229999999999</v>
      </c>
      <c r="R7" s="23">
        <f>Q7/987.9522</f>
        <v>0.94931951161199912</v>
      </c>
      <c r="S7" s="26">
        <f>Q7/1046.8696</f>
        <v>0.89589219134837805</v>
      </c>
      <c r="T7" s="25">
        <v>13765.6005</v>
      </c>
      <c r="U7" s="28">
        <f>T7/13268.5394</f>
        <v>1.0374616289717618</v>
      </c>
      <c r="V7" s="27">
        <f>T7/13670.6311</f>
        <v>1.0069469653087193</v>
      </c>
    </row>
    <row r="8" spans="1:60" s="50" customFormat="1" ht="20.100000000000001" customHeight="1" x14ac:dyDescent="0.2">
      <c r="A8" s="21" t="s">
        <v>14</v>
      </c>
      <c r="B8" s="14">
        <v>687.34500000000003</v>
      </c>
      <c r="C8" s="15">
        <f>B8/868.8884</f>
        <v>0.79106246555944348</v>
      </c>
      <c r="D8" s="16">
        <f>B8/1321.7889</f>
        <v>0.52001117576339162</v>
      </c>
      <c r="E8" s="55">
        <v>417.39319999999998</v>
      </c>
      <c r="F8" s="15">
        <f>E8/414.2366</f>
        <v>1.0076202827079983</v>
      </c>
      <c r="G8" s="18">
        <f>E8/446.9177</f>
        <v>0.93393750124463626</v>
      </c>
      <c r="H8" s="61">
        <v>1104.7382</v>
      </c>
      <c r="I8" s="15">
        <f>H8/1283.125</f>
        <v>0.86097472966390654</v>
      </c>
      <c r="J8" s="19">
        <f>H8/1768.7066</f>
        <v>0.62460229412837609</v>
      </c>
      <c r="K8" s="14">
        <v>233.83410000000001</v>
      </c>
      <c r="L8" s="15">
        <f>K8/269.6817</f>
        <v>0.8670744066060101</v>
      </c>
      <c r="M8" s="16">
        <f>K8/295.8337</f>
        <v>0.79042414707993036</v>
      </c>
      <c r="N8" s="55">
        <v>132.87379999999999</v>
      </c>
      <c r="O8" s="15">
        <f>N8/152.1531</f>
        <v>0.87329012685249263</v>
      </c>
      <c r="P8" s="18">
        <f>N8/123.7241</f>
        <v>1.0739524474213187</v>
      </c>
      <c r="Q8" s="61">
        <v>366.7079</v>
      </c>
      <c r="R8" s="15">
        <f>Q8/421.8348</f>
        <v>0.86931637693239161</v>
      </c>
      <c r="S8" s="18">
        <f>Q8/419.5578</f>
        <v>0.87403428085474755</v>
      </c>
      <c r="T8" s="17">
        <v>1471.4460999999999</v>
      </c>
      <c r="U8" s="20">
        <f>T8/1704.9598</f>
        <v>0.86303858894502961</v>
      </c>
      <c r="V8" s="19">
        <f>T8/2188.2644</f>
        <v>0.67242610170873318</v>
      </c>
    </row>
    <row r="9" spans="1:60" s="50" customFormat="1" ht="20.100000000000001" customHeight="1" x14ac:dyDescent="0.2">
      <c r="A9" s="29" t="s">
        <v>15</v>
      </c>
      <c r="B9" s="22">
        <v>15.2179</v>
      </c>
      <c r="C9" s="23">
        <f>B9/21.2496</f>
        <v>0.71614995105790225</v>
      </c>
      <c r="D9" s="24">
        <f>B9/17.5781</f>
        <v>0.86573065348359612</v>
      </c>
      <c r="E9" s="54">
        <v>17.698499999999999</v>
      </c>
      <c r="F9" s="23">
        <f>E9/24.7457</f>
        <v>0.71521516869597546</v>
      </c>
      <c r="G9" s="26">
        <f>E9/16.6448</f>
        <v>1.0633050562337787</v>
      </c>
      <c r="H9" s="60">
        <v>32.916400000000003</v>
      </c>
      <c r="I9" s="23">
        <f>H9/45.9953</f>
        <v>0.71564703350124914</v>
      </c>
      <c r="J9" s="27">
        <f>H9/34.2229</f>
        <v>0.9618238080349707</v>
      </c>
      <c r="K9" s="22">
        <v>283.44830000000002</v>
      </c>
      <c r="L9" s="23">
        <f>K9/302.863</f>
        <v>0.93589609823583608</v>
      </c>
      <c r="M9" s="24">
        <f>K9/274.0667</f>
        <v>1.0342310831633321</v>
      </c>
      <c r="N9" s="54">
        <v>270.13384000000002</v>
      </c>
      <c r="O9" s="23">
        <f>N9/280.2907</f>
        <v>0.96376312164477806</v>
      </c>
      <c r="P9" s="26">
        <f>N9/275.6834</f>
        <v>0.97986980717736361</v>
      </c>
      <c r="Q9" s="60">
        <v>553.58213999999998</v>
      </c>
      <c r="R9" s="23">
        <f>Q9/583.1537</f>
        <v>0.94929028144724115</v>
      </c>
      <c r="S9" s="30">
        <f>Q9/549.7501</f>
        <v>1.0069705126019985</v>
      </c>
      <c r="T9" s="31">
        <v>586.50310000000002</v>
      </c>
      <c r="U9" s="28">
        <f>T9/630.149</f>
        <v>0.9307371748586446</v>
      </c>
      <c r="V9" s="27">
        <f>T9/583.973</f>
        <v>1.0043325633205646</v>
      </c>
    </row>
    <row r="10" spans="1:60" s="50" customFormat="1" ht="20.100000000000001" customHeight="1" x14ac:dyDescent="0.2">
      <c r="A10" s="21" t="s">
        <v>16</v>
      </c>
      <c r="B10" s="14">
        <v>1730.3809000000001</v>
      </c>
      <c r="C10" s="15">
        <f>B10/1813.993</f>
        <v>0.95390715399673542</v>
      </c>
      <c r="D10" s="16">
        <f>B10/1597.0472</f>
        <v>1.0834876389376595</v>
      </c>
      <c r="E10" s="55">
        <v>232.44669999999999</v>
      </c>
      <c r="F10" s="15">
        <f>E10/258.6975</f>
        <v>0.89852704413455875</v>
      </c>
      <c r="G10" s="18">
        <f>E10/255.1762</f>
        <v>0.91092625409422978</v>
      </c>
      <c r="H10" s="61">
        <v>1962.8276000000001</v>
      </c>
      <c r="I10" s="15">
        <f>H10/2072.6905</f>
        <v>0.9469950289249649</v>
      </c>
      <c r="J10" s="19">
        <f>H10/1852.2234</f>
        <v>1.0597142871642804</v>
      </c>
      <c r="K10" s="14">
        <v>1283.9487999999999</v>
      </c>
      <c r="L10" s="15">
        <f>K10/1287.1085</f>
        <v>0.99754511760275055</v>
      </c>
      <c r="M10" s="16">
        <f>K10/1352.9054</f>
        <v>0.9490307304560982</v>
      </c>
      <c r="N10" s="55">
        <v>589.53920000000005</v>
      </c>
      <c r="O10" s="15">
        <f>N10/591.169</f>
        <v>0.99724308953953955</v>
      </c>
      <c r="P10" s="18">
        <f>N10/556.9533</f>
        <v>1.0585074188446322</v>
      </c>
      <c r="Q10" s="61">
        <v>1873.4880000000001</v>
      </c>
      <c r="R10" s="15">
        <f>Q10/1878.2775</f>
        <v>0.99745005729983993</v>
      </c>
      <c r="S10" s="18">
        <f>Q10/1909.8587</f>
        <v>0.98095633985906916</v>
      </c>
      <c r="T10" s="17">
        <v>3836.3155999999999</v>
      </c>
      <c r="U10" s="20">
        <f>T10/3950.968</f>
        <v>0.97098118739508898</v>
      </c>
      <c r="V10" s="19">
        <f>T10/3762.0821</f>
        <v>1.0197320255185287</v>
      </c>
    </row>
    <row r="11" spans="1:60" s="50" customFormat="1" ht="20.100000000000001" customHeight="1" x14ac:dyDescent="0.2">
      <c r="A11" s="29" t="s">
        <v>17</v>
      </c>
      <c r="B11" s="22">
        <v>1738.2233000000001</v>
      </c>
      <c r="C11" s="23">
        <f>B11/1710.5836</f>
        <v>1.0161580527253975</v>
      </c>
      <c r="D11" s="24">
        <f>B11/1645.492</f>
        <v>1.0563547559027939</v>
      </c>
      <c r="E11" s="54">
        <v>355.07049999999998</v>
      </c>
      <c r="F11" s="23">
        <f>E11/335.2683</f>
        <v>1.0590637408905046</v>
      </c>
      <c r="G11" s="26">
        <f>E11/268.7067</f>
        <v>1.3214054580700816</v>
      </c>
      <c r="H11" s="60">
        <v>2093.2937999999999</v>
      </c>
      <c r="I11" s="23">
        <f>H11/2045.8519</f>
        <v>1.0231893129703085</v>
      </c>
      <c r="J11" s="27">
        <f>H11/1914.1987</f>
        <v>1.093561394645185</v>
      </c>
      <c r="K11" s="22">
        <v>68.938599999999994</v>
      </c>
      <c r="L11" s="23">
        <f>K11/98.0442</f>
        <v>0.70313797246547982</v>
      </c>
      <c r="M11" s="24">
        <f>K11/145.9514</f>
        <v>0.47233942257491185</v>
      </c>
      <c r="N11" s="54">
        <v>527.60479999999995</v>
      </c>
      <c r="O11" s="23">
        <f>N11/526.6199</f>
        <v>1.0018702293627717</v>
      </c>
      <c r="P11" s="26">
        <f>N11/565.9379</f>
        <v>0.93226624334578045</v>
      </c>
      <c r="Q11" s="60">
        <v>596.54340000000002</v>
      </c>
      <c r="R11" s="23">
        <f>Q11/624.6641</f>
        <v>0.95498268589470736</v>
      </c>
      <c r="S11" s="26">
        <f>Q11/711.8893</f>
        <v>0.83797213976948381</v>
      </c>
      <c r="T11" s="25">
        <v>2689.8371999999999</v>
      </c>
      <c r="U11" s="28">
        <f>T11/2670.516</f>
        <v>1.0072350062684514</v>
      </c>
      <c r="V11" s="27">
        <f>T11/2626.088</f>
        <v>1.0242753479700604</v>
      </c>
    </row>
    <row r="12" spans="1:60" s="50" customFormat="1" ht="20.100000000000001" customHeight="1" x14ac:dyDescent="0.2">
      <c r="A12" s="21" t="s">
        <v>18</v>
      </c>
      <c r="B12" s="14">
        <v>2373.6664999999998</v>
      </c>
      <c r="C12" s="15">
        <f>B12/2425.14</f>
        <v>0.97877503979151714</v>
      </c>
      <c r="D12" s="16">
        <f>B12/2593.5139</f>
        <v>0.91523184047712247</v>
      </c>
      <c r="E12" s="55">
        <v>513.68460000000005</v>
      </c>
      <c r="F12" s="15">
        <f>E12/532.8923</f>
        <v>0.96395575616311224</v>
      </c>
      <c r="G12" s="18">
        <f>E12/480.5182</f>
        <v>1.0690221515022742</v>
      </c>
      <c r="H12" s="61">
        <v>2887.3510999999999</v>
      </c>
      <c r="I12" s="15">
        <f>H12/2958.0323</f>
        <v>0.97610533191270432</v>
      </c>
      <c r="J12" s="19">
        <f>H12/3074.0321</f>
        <v>0.93927161658461533</v>
      </c>
      <c r="K12" s="14">
        <v>169.69659999999999</v>
      </c>
      <c r="L12" s="15">
        <f>K12/179.9931</f>
        <v>0.94279502936501447</v>
      </c>
      <c r="M12" s="16">
        <f>K12/207.0744</f>
        <v>0.81949579474816781</v>
      </c>
      <c r="N12" s="55">
        <v>228.08510000000001</v>
      </c>
      <c r="O12" s="15">
        <f>N12/259.945</f>
        <v>0.87743599607609313</v>
      </c>
      <c r="P12" s="18">
        <f>N12/282.7134</f>
        <v>0.80677145122940774</v>
      </c>
      <c r="Q12" s="61">
        <v>397.7817</v>
      </c>
      <c r="R12" s="15">
        <f>Q12/439.9381</f>
        <v>0.90417651937852161</v>
      </c>
      <c r="S12" s="18">
        <f>Q12/489.7878</f>
        <v>0.81215109890446435</v>
      </c>
      <c r="T12" s="17">
        <v>3285.1327999999999</v>
      </c>
      <c r="U12" s="20">
        <f>T12/3397.9704</f>
        <v>0.96679264775231699</v>
      </c>
      <c r="V12" s="19">
        <f>T12/3563.8199</f>
        <v>0.9218010146921285</v>
      </c>
    </row>
    <row r="13" spans="1:60" s="50" customFormat="1" ht="20.100000000000001" customHeight="1" thickBot="1" x14ac:dyDescent="0.25">
      <c r="A13" s="32" t="s">
        <v>19</v>
      </c>
      <c r="B13" s="33">
        <v>25.802499999999998</v>
      </c>
      <c r="C13" s="34">
        <f>B13/27.6977</f>
        <v>0.93157554598396253</v>
      </c>
      <c r="D13" s="35">
        <f>B13/33.3401</f>
        <v>0.77391789466738248</v>
      </c>
      <c r="E13" s="56">
        <v>4.0746000000000002</v>
      </c>
      <c r="F13" s="34">
        <f>E13/4.3281</f>
        <v>0.9414292645733694</v>
      </c>
      <c r="G13" s="36">
        <f>E13/1.1684</f>
        <v>3.4873331051009928</v>
      </c>
      <c r="H13" s="62">
        <v>29.877099999999999</v>
      </c>
      <c r="I13" s="34">
        <f>H13/32.0258</f>
        <v>0.93290721855504011</v>
      </c>
      <c r="J13" s="37">
        <f>H13/34.5085</f>
        <v>0.86578958807250384</v>
      </c>
      <c r="K13" s="33">
        <v>165.30539999999999</v>
      </c>
      <c r="L13" s="34">
        <f>K13/160.424</f>
        <v>1.030428115493941</v>
      </c>
      <c r="M13" s="35">
        <f>K13/170.9629</f>
        <v>0.96690802507444595</v>
      </c>
      <c r="N13" s="56">
        <v>62.501600000000003</v>
      </c>
      <c r="O13" s="34">
        <f>N13/62.7356</f>
        <v>0.99627006038039012</v>
      </c>
      <c r="P13" s="36">
        <f>N13/66.8195</f>
        <v>0.93537964217032454</v>
      </c>
      <c r="Q13" s="62">
        <v>227.80699999999999</v>
      </c>
      <c r="R13" s="34">
        <f>Q13/223.1596</f>
        <v>1.0208254540696433</v>
      </c>
      <c r="S13" s="36">
        <f>Q13/237.7824</f>
        <v>0.95804819868922175</v>
      </c>
      <c r="T13" s="38">
        <v>257.6841</v>
      </c>
      <c r="U13" s="39">
        <f>T13/255.1854</f>
        <v>1.0097917043843418</v>
      </c>
      <c r="V13" s="37">
        <f>T13/272.2909</f>
        <v>0.94635590098677547</v>
      </c>
    </row>
    <row r="14" spans="1:60" s="50" customFormat="1" ht="20.100000000000001" customHeight="1" thickTop="1" thickBot="1" x14ac:dyDescent="0.25">
      <c r="A14" s="40" t="s">
        <v>20</v>
      </c>
      <c r="B14" s="41">
        <f>SUM(B6:B13)</f>
        <v>19337.064399999999</v>
      </c>
      <c r="C14" s="42">
        <f>B14/19488.3458</f>
        <v>0.99223734012355225</v>
      </c>
      <c r="D14" s="43">
        <f>B14/20100.747</f>
        <v>0.96200725276528276</v>
      </c>
      <c r="E14" s="57">
        <f>SUM(E6:E13)</f>
        <v>13410.604300000001</v>
      </c>
      <c r="F14" s="42">
        <f>E14/13254.8357</f>
        <v>1.0117518318239132</v>
      </c>
      <c r="G14" s="44">
        <f>E14/13144.342</f>
        <v>1.0202567994655038</v>
      </c>
      <c r="H14" s="63">
        <f>SUM(H6:H13)</f>
        <v>32747.6672</v>
      </c>
      <c r="I14" s="42">
        <f>H14/32743.1815</f>
        <v>1.0001369964613855</v>
      </c>
      <c r="J14" s="45">
        <f>H14/30769.6615</f>
        <v>1.0642842853503605</v>
      </c>
      <c r="K14" s="41">
        <f>SUM(K6:K13)</f>
        <v>3395.3017</v>
      </c>
      <c r="L14" s="42">
        <f>K14/3663.2979</f>
        <v>0.92684291386731066</v>
      </c>
      <c r="M14" s="43">
        <f>K14/3633.8923</f>
        <v>0.93434296332888012</v>
      </c>
      <c r="N14" s="57">
        <f>SUM(N6:N13)</f>
        <v>2541.4690400000004</v>
      </c>
      <c r="O14" s="42">
        <f>N14/2504.6249</f>
        <v>1.014710442270218</v>
      </c>
      <c r="P14" s="44">
        <f>N14/2609.3647</f>
        <v>0.97398000363843362</v>
      </c>
      <c r="Q14" s="63">
        <f>SUM(Q6:Q13)</f>
        <v>5936.770739999999</v>
      </c>
      <c r="R14" s="42">
        <f>Q14/6167.9228</f>
        <v>0.96252351602066077</v>
      </c>
      <c r="S14" s="44">
        <f>Q14/5758.309</f>
        <v>1.0309920395032637</v>
      </c>
      <c r="T14" s="46">
        <f>SUM(T6:T13)</f>
        <v>38684.442500000005</v>
      </c>
      <c r="U14" s="47">
        <f>T14/38911.1043</f>
        <v>0.99417488133329601</v>
      </c>
      <c r="V14" s="80">
        <f>T14/36527.9705</f>
        <v>1.0590361843398883</v>
      </c>
    </row>
  </sheetData>
  <mergeCells count="10">
    <mergeCell ref="T4:V4"/>
    <mergeCell ref="AO1:BH2"/>
    <mergeCell ref="B2:R2"/>
    <mergeCell ref="A4:A5"/>
    <mergeCell ref="B4:D4"/>
    <mergeCell ref="E4:G4"/>
    <mergeCell ref="H4:J4"/>
    <mergeCell ref="K4:M4"/>
    <mergeCell ref="N4:P4"/>
    <mergeCell ref="Q4:S4"/>
  </mergeCells>
  <phoneticPr fontId="6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輸移出入別</vt:lpstr>
      <vt:lpstr>輸移出入別!Print_Area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