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D78C555D-F16C-4F9B-9E6B-4E15CBCDE722}" xr6:coauthVersionLast="47" xr6:coauthVersionMax="47" xr10:uidLastSave="{00000000-0000-0000-0000-000000000000}"/>
  <workbookProtection workbookAlgorithmName="SHA-512" workbookHashValue="u+EipSKYa5bjEXltaHPCse9XgM/Uzg55qFcznr4cuZxfZSm5S6iqhty7YmX6vrq3v14QUOOu9oNFgxmmlG5DVQ==" workbookSaltValue="1v6ZTzb34FmLZwg+cssjoA==" workbookSpinCount="100000" lockStructure="1"/>
  <bookViews>
    <workbookView xWindow="28680" yWindow="-120" windowWidth="29040" windowHeight="15720" xr2:uid="{00000000-000D-0000-FFFF-FFFF00000000}"/>
  </bookViews>
  <sheets>
    <sheet name="手引き" sheetId="21" r:id="rId1"/>
    <sheet name="申請書表紙" sheetId="23" r:id="rId2"/>
    <sheet name="別紙" sheetId="42" r:id="rId3"/>
    <sheet name="大阪" sheetId="3" r:id="rId4"/>
    <sheet name="名前2" sheetId="22" state="hidden" r:id="rId5"/>
  </sheets>
  <definedNames>
    <definedName name="_xlnm.Print_Area" localSheetId="0">手引き!$A$1:$L$61</definedName>
    <definedName name="_xlnm.Print_Area" localSheetId="1">申請書表紙!$A$1:$I$50</definedName>
    <definedName name="_xlnm.Print_Area" localSheetId="3">大阪!$A$1:$S$33</definedName>
    <definedName name="_xlnm.Print_Area" localSheetId="2">別紙!$A$1:$T$181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66" i="42" l="1"/>
  <c r="R9" i="42"/>
  <c r="C64" i="42" s="1"/>
  <c r="H37" i="21"/>
  <c r="X58" i="21"/>
  <c r="C9" i="42" l="1"/>
  <c r="C10" i="42"/>
  <c r="C24" i="42"/>
  <c r="U173" i="42"/>
  <c r="I42" i="21"/>
  <c r="C75" i="42"/>
  <c r="C11" i="42" l="1"/>
  <c r="B28" i="42"/>
  <c r="B50" i="42"/>
  <c r="B40" i="42"/>
  <c r="B20" i="42"/>
  <c r="B14" i="42"/>
  <c r="B34" i="42"/>
  <c r="B17" i="42"/>
  <c r="B23" i="42"/>
  <c r="R54" i="42"/>
  <c r="U64" i="42"/>
  <c r="B64" i="42" s="1"/>
  <c r="R59" i="42"/>
  <c r="C26" i="42" l="1"/>
  <c r="U26" i="42" s="1"/>
  <c r="R52" i="42"/>
  <c r="R53" i="42"/>
  <c r="C28" i="42"/>
  <c r="D54" i="42"/>
  <c r="C40" i="42"/>
  <c r="C50" i="42"/>
  <c r="R56" i="42"/>
  <c r="D56" i="42" s="1"/>
  <c r="C34" i="42"/>
  <c r="D51" i="42"/>
  <c r="R55" i="42"/>
  <c r="D55" i="42" s="1"/>
  <c r="C59" i="42"/>
  <c r="D52" i="42"/>
  <c r="C60" i="42"/>
  <c r="D53" i="42"/>
  <c r="C61" i="42"/>
  <c r="C62" i="42"/>
  <c r="R51" i="42"/>
  <c r="U9" i="42"/>
  <c r="C18" i="42"/>
  <c r="C14" i="42"/>
  <c r="C15" i="42"/>
  <c r="C17" i="42"/>
  <c r="C20" i="42"/>
  <c r="C21" i="42"/>
  <c r="C23" i="42"/>
  <c r="B26" i="42" l="1"/>
  <c r="B9" i="42"/>
  <c r="AL33" i="42"/>
  <c r="AL32" i="42"/>
  <c r="AL30" i="42"/>
  <c r="AL29" i="42"/>
  <c r="AL27" i="42"/>
  <c r="AL26" i="42"/>
  <c r="AL24" i="42"/>
  <c r="AL23" i="42"/>
  <c r="AL20" i="42"/>
  <c r="AL19" i="42"/>
  <c r="AL18" i="42"/>
  <c r="X169" i="42"/>
  <c r="W11" i="42"/>
  <c r="Q52" i="21"/>
  <c r="D83" i="42" s="1"/>
  <c r="R83" i="42" s="1"/>
  <c r="Q43" i="21"/>
  <c r="F13" i="23"/>
  <c r="U178" i="42"/>
  <c r="U188" i="42"/>
  <c r="U189" i="42"/>
  <c r="B46" i="23" l="1"/>
  <c r="M43" i="21"/>
  <c r="AB25" i="3"/>
  <c r="Q24" i="21" l="1"/>
  <c r="M26" i="21"/>
  <c r="N43" i="21" l="1"/>
  <c r="J30" i="21"/>
  <c r="M47" i="21" l="1"/>
  <c r="AB15" i="3" l="1"/>
  <c r="AB6" i="3" l="1"/>
  <c r="AC8" i="3"/>
  <c r="AC6" i="3"/>
  <c r="C10" i="3"/>
  <c r="C11" i="3" s="1"/>
  <c r="C12" i="3" s="1"/>
  <c r="C13" i="3" s="1"/>
  <c r="C14" i="3" s="1"/>
  <c r="X172" i="42" l="1"/>
  <c r="X173" i="42" l="1"/>
  <c r="B134" i="42" l="1"/>
  <c r="B135" i="42"/>
  <c r="U177" i="42"/>
  <c r="B43" i="23" l="1"/>
  <c r="E50" i="23" l="1"/>
  <c r="AC44" i="3" l="1"/>
  <c r="AC43" i="3"/>
  <c r="AC42" i="3"/>
  <c r="AC41" i="3"/>
  <c r="AC40" i="3"/>
  <c r="AC39" i="3"/>
  <c r="AC38" i="3"/>
  <c r="AC37" i="3"/>
  <c r="AC36" i="3"/>
  <c r="AC35" i="3"/>
  <c r="AC34" i="3"/>
  <c r="AC33" i="3"/>
  <c r="AC32" i="3"/>
  <c r="AC31" i="3"/>
  <c r="AC30" i="3"/>
  <c r="AC29" i="3"/>
  <c r="AC28" i="3"/>
  <c r="AC27" i="3"/>
  <c r="AC26" i="3"/>
  <c r="AC25" i="3"/>
  <c r="AC24" i="3"/>
  <c r="AC23" i="3"/>
  <c r="AC22" i="3"/>
  <c r="AC21" i="3"/>
  <c r="AC20" i="3"/>
  <c r="AC19" i="3"/>
  <c r="AC18" i="3"/>
  <c r="AC17" i="3"/>
  <c r="AC16" i="3"/>
  <c r="AC15" i="3"/>
  <c r="AC14" i="3"/>
  <c r="AC13" i="3"/>
  <c r="AC12" i="3"/>
  <c r="AC11" i="3"/>
  <c r="AC10" i="3"/>
  <c r="AC9" i="3"/>
  <c r="AC7" i="3"/>
  <c r="AB9" i="3"/>
  <c r="X174" i="42" l="1"/>
  <c r="X61" i="21" l="1"/>
  <c r="X50" i="21"/>
  <c r="X42" i="21"/>
  <c r="X34" i="21"/>
  <c r="X26" i="21"/>
  <c r="X18" i="21"/>
  <c r="X8" i="21"/>
  <c r="D51" i="21" l="1"/>
  <c r="R58" i="42" l="1"/>
  <c r="C35" i="3"/>
  <c r="H5" i="3"/>
  <c r="D52" i="21"/>
  <c r="V3" i="42" l="1"/>
  <c r="AD3" i="42" s="1"/>
  <c r="P21" i="21"/>
  <c r="V140" i="21"/>
  <c r="V139" i="21"/>
  <c r="X138" i="21"/>
  <c r="W138" i="21" s="1"/>
  <c r="X137" i="21"/>
  <c r="W137" i="21" s="1"/>
  <c r="X136" i="21"/>
  <c r="V136" i="21" s="1"/>
  <c r="AJ52" i="21"/>
  <c r="AJ44" i="21"/>
  <c r="AJ36" i="21"/>
  <c r="AJ28" i="21"/>
  <c r="AJ20" i="21"/>
  <c r="AJ12" i="21"/>
  <c r="AJ2" i="21"/>
  <c r="AC2" i="42" l="1"/>
  <c r="AE3" i="42"/>
  <c r="X4" i="42"/>
  <c r="AC7" i="42"/>
  <c r="V137" i="21"/>
  <c r="V138" i="21" s="1"/>
  <c r="X5" i="42" s="1"/>
  <c r="P40" i="21"/>
  <c r="W6" i="42" l="1"/>
  <c r="AB5" i="42"/>
  <c r="AH2" i="42"/>
  <c r="AF2" i="42"/>
  <c r="Z6" i="42"/>
  <c r="X2" i="42"/>
  <c r="Y6" i="42"/>
  <c r="AE5" i="42"/>
  <c r="W7" i="42"/>
  <c r="Y3" i="42"/>
  <c r="X3" i="42"/>
  <c r="AE7" i="42"/>
  <c r="Z1" i="42"/>
  <c r="AB3" i="42"/>
  <c r="AC4" i="42"/>
  <c r="AD7" i="42"/>
  <c r="Z2" i="42"/>
  <c r="X8" i="42"/>
  <c r="AD2" i="42"/>
  <c r="AB4" i="42"/>
  <c r="AB6" i="42"/>
  <c r="AC5" i="42"/>
  <c r="X6" i="42"/>
  <c r="AD4" i="42"/>
  <c r="Z4" i="42"/>
  <c r="AD5" i="42"/>
  <c r="W5" i="42"/>
  <c r="AE4" i="42"/>
  <c r="W4" i="42"/>
  <c r="Y4" i="42"/>
  <c r="Z5" i="42"/>
  <c r="AC3" i="42"/>
  <c r="W3" i="42"/>
  <c r="AJ2" i="42"/>
  <c r="Y5" i="42"/>
  <c r="Z3" i="42"/>
  <c r="X7" i="42"/>
  <c r="I8" i="21"/>
  <c r="I17" i="21"/>
  <c r="I22" i="21"/>
  <c r="I26" i="21"/>
  <c r="Q39" i="21"/>
  <c r="R39" i="21"/>
  <c r="R40" i="21"/>
  <c r="S40" i="21"/>
  <c r="S39" i="21"/>
  <c r="P39" i="21"/>
  <c r="Q40" i="21"/>
  <c r="C162" i="42" l="1"/>
  <c r="U174" i="42" s="1"/>
  <c r="V79" i="42"/>
  <c r="C163" i="42" s="1"/>
  <c r="I32" i="42"/>
  <c r="T32" i="42"/>
  <c r="T38" i="42"/>
  <c r="H47" i="42"/>
  <c r="H38" i="42"/>
  <c r="S48" i="42"/>
  <c r="D47" i="42"/>
  <c r="S38" i="42"/>
  <c r="S32" i="42"/>
  <c r="I38" i="42"/>
  <c r="K48" i="42"/>
  <c r="L48" i="42"/>
  <c r="H32" i="42"/>
  <c r="D38" i="42"/>
  <c r="T48" i="42"/>
  <c r="M48" i="42"/>
  <c r="D32" i="42"/>
  <c r="N48" i="42"/>
  <c r="A11" i="22"/>
  <c r="T40" i="21"/>
  <c r="T39" i="21"/>
  <c r="D95" i="42"/>
  <c r="D127" i="42"/>
  <c r="D115" i="42"/>
  <c r="D103" i="42"/>
  <c r="D90" i="42"/>
  <c r="D126" i="42"/>
  <c r="D114" i="42"/>
  <c r="D102" i="42"/>
  <c r="D89" i="42"/>
  <c r="D125" i="42"/>
  <c r="D113" i="42"/>
  <c r="D101" i="42"/>
  <c r="D124" i="42"/>
  <c r="D112" i="42"/>
  <c r="D100" i="42"/>
  <c r="D123" i="42"/>
  <c r="D111" i="42"/>
  <c r="D99" i="42"/>
  <c r="D122" i="42"/>
  <c r="D110" i="42"/>
  <c r="D98" i="42"/>
  <c r="D121" i="42"/>
  <c r="D109" i="42"/>
  <c r="D97" i="42"/>
  <c r="D120" i="42"/>
  <c r="D108" i="42"/>
  <c r="D96" i="42"/>
  <c r="D119" i="42"/>
  <c r="D107" i="42"/>
  <c r="D94" i="42"/>
  <c r="D118" i="42"/>
  <c r="D106" i="42"/>
  <c r="D93" i="42"/>
  <c r="D117" i="42"/>
  <c r="D92" i="42"/>
  <c r="D116" i="42"/>
  <c r="D104" i="42"/>
  <c r="D91" i="42"/>
  <c r="D105" i="42"/>
  <c r="H124" i="42"/>
  <c r="H95" i="42"/>
  <c r="H90" i="42"/>
  <c r="H97" i="42"/>
  <c r="H103" i="42"/>
  <c r="H98" i="42"/>
  <c r="H100" i="42"/>
  <c r="H89" i="42"/>
  <c r="H99" i="42"/>
  <c r="H91" i="42"/>
  <c r="H108" i="42"/>
  <c r="H105" i="42"/>
  <c r="H101" i="42"/>
  <c r="H123" i="42"/>
  <c r="H116" i="42"/>
  <c r="H104" i="42"/>
  <c r="H119" i="42"/>
  <c r="H114" i="42"/>
  <c r="H121" i="42"/>
  <c r="H125" i="42"/>
  <c r="H110" i="42"/>
  <c r="H117" i="42"/>
  <c r="H92" i="42"/>
  <c r="H127" i="42"/>
  <c r="H122" i="42"/>
  <c r="H115" i="42"/>
  <c r="H111" i="42"/>
  <c r="H106" i="42"/>
  <c r="H113" i="42"/>
  <c r="H94" i="42"/>
  <c r="H112" i="42"/>
  <c r="H120" i="42"/>
  <c r="H93" i="42"/>
  <c r="H96" i="42"/>
  <c r="H126" i="42"/>
  <c r="H118" i="42"/>
  <c r="H107" i="42"/>
  <c r="H102" i="42"/>
  <c r="H109" i="42"/>
  <c r="R60" i="42" l="1"/>
  <c r="R61" i="42"/>
  <c r="R62" i="42"/>
  <c r="O27" i="3" l="1"/>
  <c r="Q53" i="21" l="1"/>
  <c r="D84" i="42" s="1"/>
  <c r="R84" i="42" s="1"/>
  <c r="Q54" i="21"/>
  <c r="D85" i="42" s="1"/>
  <c r="R85" i="42" s="1"/>
  <c r="Q44" i="21"/>
  <c r="Q49" i="21"/>
  <c r="Q56" i="21"/>
  <c r="E49" i="23" l="1"/>
  <c r="V191" i="42"/>
  <c r="V190" i="42"/>
  <c r="X171" i="42"/>
  <c r="X170" i="42"/>
  <c r="V169" i="42"/>
  <c r="Q129" i="42"/>
  <c r="C131" i="42" s="1"/>
  <c r="T62" i="42"/>
  <c r="T61" i="42"/>
  <c r="T60" i="42"/>
  <c r="C135" i="42" l="1"/>
  <c r="C137" i="42"/>
  <c r="C133" i="42"/>
  <c r="U145" i="42" s="1"/>
  <c r="C134" i="42"/>
  <c r="C136" i="42"/>
  <c r="U148" i="42" s="1"/>
  <c r="U149" i="42"/>
  <c r="C138" i="42"/>
  <c r="U150" i="42" s="1"/>
  <c r="C164" i="42"/>
  <c r="C160" i="42"/>
  <c r="U172" i="42" s="1"/>
  <c r="U144" i="42"/>
  <c r="V170" i="42"/>
  <c r="V171" i="42" s="1"/>
  <c r="V172" i="42" s="1"/>
  <c r="U179" i="42" s="1"/>
  <c r="X175" i="42"/>
  <c r="X155" i="42"/>
  <c r="W155" i="42" s="1"/>
  <c r="X150" i="42"/>
  <c r="T59" i="42"/>
  <c r="X140" i="42"/>
  <c r="C139" i="42" s="1"/>
  <c r="U151" i="42" s="1"/>
  <c r="X144" i="42"/>
  <c r="X160" i="42"/>
  <c r="X159" i="42"/>
  <c r="X158" i="42"/>
  <c r="X157" i="42"/>
  <c r="X156" i="42"/>
  <c r="X145" i="42"/>
  <c r="X154" i="42"/>
  <c r="X153" i="42"/>
  <c r="X152" i="42"/>
  <c r="X151" i="42"/>
  <c r="U143" i="42"/>
  <c r="C130" i="42"/>
  <c r="U142" i="42" s="1"/>
  <c r="B130" i="42" s="1"/>
  <c r="X143" i="42"/>
  <c r="X142" i="42"/>
  <c r="X141" i="42"/>
  <c r="R79" i="42"/>
  <c r="I79" i="42"/>
  <c r="T79" i="42"/>
  <c r="H79" i="42"/>
  <c r="C167" i="42" l="1"/>
  <c r="B138" i="42"/>
  <c r="B160" i="42"/>
  <c r="B161" i="42"/>
  <c r="B162" i="42"/>
  <c r="W140" i="42"/>
  <c r="B132" i="42"/>
  <c r="B131" i="42"/>
  <c r="B133" i="42"/>
  <c r="B136" i="42"/>
  <c r="B137" i="42"/>
  <c r="V173" i="42"/>
  <c r="C168" i="42" s="1"/>
  <c r="V141" i="42"/>
  <c r="W141" i="42"/>
  <c r="U180" i="42" l="1"/>
  <c r="V174" i="42"/>
  <c r="V142" i="42"/>
  <c r="B139" i="42"/>
  <c r="V143" i="42"/>
  <c r="C169" i="42" l="1"/>
  <c r="U181" i="42"/>
  <c r="V175" i="42"/>
  <c r="U185" i="42" s="1"/>
  <c r="V144" i="42"/>
  <c r="C172" i="42" l="1"/>
  <c r="C171" i="42"/>
  <c r="C170" i="42"/>
  <c r="C173" i="42"/>
  <c r="U183" i="42"/>
  <c r="B171" i="42" s="1"/>
  <c r="U184" i="42"/>
  <c r="U182" i="42"/>
  <c r="V145" i="42"/>
  <c r="V146" i="42" l="1"/>
  <c r="O8" i="3"/>
  <c r="A8" i="3"/>
  <c r="S42" i="42"/>
  <c r="P27" i="21"/>
  <c r="T42" i="42"/>
  <c r="K42" i="42"/>
  <c r="D29" i="42"/>
  <c r="L42" i="42"/>
  <c r="H41" i="42"/>
  <c r="D76" i="42"/>
  <c r="T29" i="42"/>
  <c r="H35" i="42"/>
  <c r="D41" i="42"/>
  <c r="N42" i="42"/>
  <c r="I35" i="42"/>
  <c r="I76" i="42"/>
  <c r="T35" i="42"/>
  <c r="H76" i="42"/>
  <c r="S35" i="42"/>
  <c r="R76" i="42"/>
  <c r="H29" i="42"/>
  <c r="S29" i="42"/>
  <c r="U27" i="21"/>
  <c r="D35" i="42"/>
  <c r="I29" i="42"/>
  <c r="U38" i="21" l="1"/>
  <c r="P38" i="21"/>
  <c r="E36" i="21" s="1"/>
  <c r="V147" i="42"/>
  <c r="D78" i="42"/>
  <c r="R78" i="42"/>
  <c r="H78" i="42"/>
  <c r="T78" i="42"/>
  <c r="I78" i="42"/>
  <c r="U198" i="42" l="1"/>
  <c r="U190" i="42"/>
  <c r="U193" i="42"/>
  <c r="U195" i="42"/>
  <c r="B177" i="42" s="1"/>
  <c r="U191" i="42"/>
  <c r="U194" i="42"/>
  <c r="U196" i="42"/>
  <c r="U199" i="42"/>
  <c r="U192" i="42"/>
  <c r="U197" i="42"/>
  <c r="B179" i="42" s="1"/>
  <c r="C176" i="42"/>
  <c r="C175" i="42"/>
  <c r="C180" i="42"/>
  <c r="C181" i="42"/>
  <c r="C179" i="42"/>
  <c r="C177" i="42"/>
  <c r="B182" i="42"/>
  <c r="C178" i="42"/>
  <c r="V148" i="42"/>
  <c r="B175" i="42" l="1"/>
  <c r="B181" i="42"/>
  <c r="B178" i="42"/>
  <c r="B176" i="42"/>
  <c r="B180" i="42"/>
  <c r="V149" i="42"/>
  <c r="V150" i="42" l="1"/>
  <c r="V151" i="42" s="1"/>
  <c r="V152" i="42" s="1"/>
  <c r="V153" i="42" s="1"/>
  <c r="V154" i="42" s="1"/>
  <c r="D30" i="21"/>
  <c r="V155" i="42" l="1"/>
  <c r="A27" i="3"/>
  <c r="O18" i="3"/>
  <c r="A18" i="3"/>
  <c r="F10" i="23"/>
  <c r="D37" i="42"/>
  <c r="D43" i="42"/>
  <c r="D77" i="42"/>
  <c r="S30" i="42"/>
  <c r="T77" i="42"/>
  <c r="M44" i="42"/>
  <c r="Q27" i="21"/>
  <c r="H43" i="42"/>
  <c r="T37" i="42"/>
  <c r="I30" i="42"/>
  <c r="H36" i="42"/>
  <c r="L44" i="42"/>
  <c r="N46" i="42"/>
  <c r="H31" i="42"/>
  <c r="T36" i="42"/>
  <c r="N40" i="21"/>
  <c r="H77" i="42"/>
  <c r="S37" i="42"/>
  <c r="D31" i="42"/>
  <c r="T46" i="42"/>
  <c r="S31" i="42"/>
  <c r="H37" i="42"/>
  <c r="S44" i="42"/>
  <c r="D30" i="42"/>
  <c r="S46" i="42"/>
  <c r="H45" i="42"/>
  <c r="I37" i="42"/>
  <c r="N44" i="42"/>
  <c r="M40" i="21"/>
  <c r="K44" i="42"/>
  <c r="R77" i="42"/>
  <c r="S36" i="42"/>
  <c r="D36" i="42"/>
  <c r="R27" i="21"/>
  <c r="I77" i="42"/>
  <c r="T31" i="42"/>
  <c r="T30" i="42"/>
  <c r="D45" i="42"/>
  <c r="I36" i="42"/>
  <c r="K46" i="42"/>
  <c r="M46" i="42"/>
  <c r="H30" i="42"/>
  <c r="L46" i="42"/>
  <c r="I31" i="42"/>
  <c r="T44" i="42"/>
  <c r="V156" i="42" l="1"/>
  <c r="V157" i="42" s="1"/>
  <c r="V158" i="42" s="1"/>
  <c r="U175" i="42"/>
  <c r="U176" i="42"/>
  <c r="R38" i="21"/>
  <c r="E38" i="21" s="1"/>
  <c r="Q38" i="21"/>
  <c r="E37" i="21" s="1"/>
  <c r="O40" i="21"/>
  <c r="B34" i="23"/>
  <c r="B5" i="42"/>
  <c r="B163" i="42" l="1"/>
  <c r="B169" i="42"/>
  <c r="B164" i="42"/>
  <c r="B165" i="42"/>
  <c r="B166" i="42"/>
  <c r="B167" i="42"/>
  <c r="B168" i="42"/>
  <c r="B170" i="42"/>
  <c r="B172" i="42"/>
  <c r="B173" i="42"/>
  <c r="T38" i="21"/>
  <c r="G38" i="21"/>
  <c r="V159" i="42"/>
  <c r="V160" i="42" s="1"/>
  <c r="C142" i="42" s="1"/>
  <c r="A19" i="23"/>
  <c r="E16" i="23"/>
  <c r="T76" i="42"/>
  <c r="U152" i="42" l="1"/>
  <c r="B140" i="42" s="1"/>
  <c r="C140" i="42"/>
  <c r="U154" i="42"/>
  <c r="U153" i="42"/>
  <c r="U155" i="42"/>
  <c r="C141" i="42"/>
  <c r="C143" i="42"/>
  <c r="C144" i="42"/>
  <c r="U156" i="42"/>
  <c r="U159" i="42"/>
  <c r="U162" i="42"/>
  <c r="U158" i="42"/>
  <c r="U163" i="42"/>
  <c r="U161" i="42"/>
  <c r="U160" i="42"/>
  <c r="U157" i="42"/>
  <c r="C146" i="42"/>
  <c r="C149" i="42"/>
  <c r="C148" i="42"/>
  <c r="C147" i="42"/>
  <c r="C150" i="42"/>
  <c r="C145" i="42"/>
  <c r="M46" i="21"/>
  <c r="I33" i="21" s="1"/>
  <c r="G37" i="21"/>
  <c r="U165" i="42"/>
  <c r="U170" i="42"/>
  <c r="B158" i="42" s="1"/>
  <c r="U168" i="42"/>
  <c r="B156" i="42" s="1"/>
  <c r="U164" i="42"/>
  <c r="U169" i="42"/>
  <c r="B157" i="42" s="1"/>
  <c r="U167" i="42"/>
  <c r="U166" i="42"/>
  <c r="B154" i="42" s="1"/>
  <c r="I29" i="21"/>
  <c r="C155" i="42"/>
  <c r="C154" i="42"/>
  <c r="C153" i="42"/>
  <c r="C156" i="42"/>
  <c r="C158" i="42"/>
  <c r="C151" i="42"/>
  <c r="C157" i="42"/>
  <c r="C152" i="42"/>
  <c r="G1" i="23"/>
  <c r="A41" i="23"/>
  <c r="F6" i="23"/>
  <c r="C28" i="23" s="1"/>
  <c r="F7" i="23"/>
  <c r="C29" i="23" s="1"/>
  <c r="F9" i="23"/>
  <c r="F11" i="23"/>
  <c r="F5" i="23"/>
  <c r="C27" i="23" s="1"/>
  <c r="N2" i="21" l="1"/>
  <c r="B152" i="42"/>
  <c r="B146" i="42"/>
  <c r="B142" i="42"/>
  <c r="B151" i="42"/>
  <c r="B155" i="42"/>
  <c r="B153" i="42"/>
  <c r="B145" i="42"/>
  <c r="B144" i="42"/>
  <c r="B148" i="42"/>
  <c r="B150" i="42"/>
  <c r="B147" i="42"/>
  <c r="B149" i="42"/>
  <c r="B143" i="42"/>
  <c r="B141" i="42"/>
  <c r="G36" i="21"/>
  <c r="C29" i="3"/>
  <c r="Q29" i="3" s="1"/>
  <c r="I28" i="3"/>
  <c r="Q21" i="3"/>
  <c r="Q14" i="3" s="1"/>
  <c r="E21" i="3"/>
  <c r="E14" i="3" s="1"/>
  <c r="C20" i="3"/>
  <c r="Q20" i="3" s="1"/>
  <c r="I19" i="3"/>
  <c r="Q12" i="3"/>
  <c r="E12" i="3"/>
  <c r="I12" i="3" s="1"/>
  <c r="I9" i="3"/>
  <c r="I21" i="3" l="1"/>
  <c r="K21" i="3" s="1"/>
  <c r="Q22" i="3"/>
  <c r="Q13" i="3"/>
  <c r="C30" i="3"/>
  <c r="Q30" i="3" s="1"/>
  <c r="Q23" i="3" s="1"/>
  <c r="K19" i="3"/>
  <c r="K28" i="3"/>
  <c r="K9" i="3"/>
  <c r="E10" i="3"/>
  <c r="I10" i="3" s="1"/>
  <c r="K10" i="3" s="1"/>
  <c r="E29" i="3"/>
  <c r="I29" i="3" s="1"/>
  <c r="K29" i="3" s="1"/>
  <c r="Q11" i="3"/>
  <c r="E11" i="3"/>
  <c r="K12" i="3"/>
  <c r="C21" i="3"/>
  <c r="C22" i="3" s="1"/>
  <c r="C23" i="3" s="1"/>
  <c r="E20" i="3"/>
  <c r="Q10" i="3"/>
  <c r="M42" i="42"/>
  <c r="C48" i="21" l="1"/>
  <c r="C31" i="3"/>
  <c r="E22" i="3"/>
  <c r="E30" i="3"/>
  <c r="E23" i="3" s="1"/>
  <c r="I11" i="3"/>
  <c r="K11" i="3" s="1"/>
  <c r="E13" i="3"/>
  <c r="I20" i="3"/>
  <c r="K20" i="3" s="1"/>
  <c r="E31" i="3" l="1"/>
  <c r="C32" i="3"/>
  <c r="Q31" i="3"/>
  <c r="I22" i="3"/>
  <c r="K22" i="3" s="1"/>
  <c r="I30" i="3"/>
  <c r="K30" i="3" s="1"/>
  <c r="I23" i="3"/>
  <c r="K23" i="3" s="1"/>
  <c r="I31" i="3"/>
  <c r="K31" i="3" s="1"/>
  <c r="I13" i="3"/>
  <c r="K13" i="3" s="1"/>
  <c r="E32" i="3" l="1"/>
  <c r="Q32" i="3"/>
  <c r="I14" i="3"/>
  <c r="K14" i="3" s="1"/>
  <c r="I32" i="3" l="1"/>
  <c r="K32" i="3" s="1"/>
  <c r="D79" i="42"/>
</calcChain>
</file>

<file path=xl/sharedStrings.xml><?xml version="1.0" encoding="utf-8"?>
<sst xmlns="http://schemas.openxmlformats.org/spreadsheetml/2006/main" count="1059" uniqueCount="414">
  <si>
    <t>大　　阪　　地　　区　　　　　運　　賃　　・　　料　　金</t>
    <phoneticPr fontId="2"/>
  </si>
  <si>
    <t>自動認可運賃</t>
    <rPh sb="0" eb="2">
      <t>ジドウ</t>
    </rPh>
    <rPh sb="2" eb="4">
      <t>ニンカ</t>
    </rPh>
    <rPh sb="4" eb="6">
      <t>ウンチン</t>
    </rPh>
    <phoneticPr fontId="2"/>
  </si>
  <si>
    <t>　①特定大型車</t>
    <rPh sb="2" eb="4">
      <t>トクテイ</t>
    </rPh>
    <rPh sb="4" eb="6">
      <t>オオガタ</t>
    </rPh>
    <rPh sb="6" eb="7">
      <t>シャ</t>
    </rPh>
    <phoneticPr fontId="2"/>
  </si>
  <si>
    <t>距離制運賃</t>
    <rPh sb="0" eb="2">
      <t>キョリ</t>
    </rPh>
    <rPh sb="2" eb="3">
      <t>セイ</t>
    </rPh>
    <rPh sb="3" eb="5">
      <t>ウンチン</t>
    </rPh>
    <phoneticPr fontId="2"/>
  </si>
  <si>
    <t>時間距離併用制</t>
    <rPh sb="6" eb="7">
      <t>セイ</t>
    </rPh>
    <phoneticPr fontId="2"/>
  </si>
  <si>
    <t>時間制運賃</t>
    <rPh sb="0" eb="2">
      <t>ジカン</t>
    </rPh>
    <rPh sb="2" eb="3">
      <t>セイ</t>
    </rPh>
    <rPh sb="3" eb="5">
      <t>ウンチン</t>
    </rPh>
    <phoneticPr fontId="2"/>
  </si>
  <si>
    <t>加　算　運　賃</t>
  </si>
  <si>
    <t>下限運賃</t>
    <rPh sb="0" eb="2">
      <t>カゲン</t>
    </rPh>
    <rPh sb="2" eb="4">
      <t>ウンチン</t>
    </rPh>
    <phoneticPr fontId="2"/>
  </si>
  <si>
    <t>上限運賃</t>
    <rPh sb="0" eb="2">
      <t>ジョウゲン</t>
    </rPh>
    <rPh sb="2" eb="4">
      <t>ウンチン</t>
    </rPh>
    <phoneticPr fontId="2"/>
  </si>
  <si>
    <t>円</t>
  </si>
  <si>
    <t>m</t>
  </si>
  <si>
    <t>分</t>
  </si>
  <si>
    <t>秒</t>
  </si>
  <si>
    <t>Ｂ運賃</t>
  </si>
  <si>
    <t>Ｃ運賃</t>
    <phoneticPr fontId="2"/>
  </si>
  <si>
    <t>Ｃ運賃</t>
    <phoneticPr fontId="2"/>
  </si>
  <si>
    <t>Ｄ運賃</t>
    <phoneticPr fontId="2"/>
  </si>
  <si>
    <t>Ｄ運賃</t>
    <phoneticPr fontId="2"/>
  </si>
  <si>
    <t>Ｅ運賃</t>
    <phoneticPr fontId="2"/>
  </si>
  <si>
    <t>　②大型車</t>
    <rPh sb="2" eb="4">
      <t>オオガタ</t>
    </rPh>
    <rPh sb="4" eb="5">
      <t>シャ</t>
    </rPh>
    <phoneticPr fontId="2"/>
  </si>
  <si>
    <t>Ｃ運賃</t>
    <phoneticPr fontId="2"/>
  </si>
  <si>
    <t>Ｄ運賃</t>
    <phoneticPr fontId="2"/>
  </si>
  <si>
    <t>Ｄ運賃</t>
    <phoneticPr fontId="2"/>
  </si>
  <si>
    <t>　③普通車</t>
    <rPh sb="2" eb="5">
      <t>フツウシャ</t>
    </rPh>
    <phoneticPr fontId="2"/>
  </si>
  <si>
    <t>Ｃ運賃</t>
    <phoneticPr fontId="2"/>
  </si>
  <si>
    <t>Ｃ運賃</t>
    <phoneticPr fontId="2"/>
  </si>
  <si>
    <t>初乗運賃
（1．2㎞）</t>
    <rPh sb="0" eb="1">
      <t>ハツ</t>
    </rPh>
    <rPh sb="1" eb="2">
      <t>ジョウ</t>
    </rPh>
    <rPh sb="2" eb="4">
      <t>ウンチン</t>
    </rPh>
    <phoneticPr fontId="2"/>
  </si>
  <si>
    <t>　</t>
    <phoneticPr fontId="1"/>
  </si>
  <si>
    <t xml:space="preserve"> </t>
    <phoneticPr fontId="1"/>
  </si>
  <si>
    <t>　　　</t>
    <phoneticPr fontId="1"/>
  </si>
  <si>
    <t>知的障害者割引</t>
    <phoneticPr fontId="1"/>
  </si>
  <si>
    <t>身体障害者割引</t>
    <phoneticPr fontId="1"/>
  </si>
  <si>
    <t>時間制運賃</t>
    <rPh sb="0" eb="3">
      <t>ジカンセイ</t>
    </rPh>
    <rPh sb="3" eb="5">
      <t>ウンチン</t>
    </rPh>
    <phoneticPr fontId="1"/>
  </si>
  <si>
    <t>別　　　　紙</t>
    <phoneticPr fontId="1"/>
  </si>
  <si>
    <t>設定する</t>
    <rPh sb="0" eb="2">
      <t>セッテイ</t>
    </rPh>
    <phoneticPr fontId="1"/>
  </si>
  <si>
    <t>設定しない</t>
    <rPh sb="0" eb="2">
      <t>セッテイ</t>
    </rPh>
    <phoneticPr fontId="1"/>
  </si>
  <si>
    <t>○</t>
    <phoneticPr fontId="1"/>
  </si>
  <si>
    <t xml:space="preserve"> </t>
    <phoneticPr fontId="1"/>
  </si>
  <si>
    <t>一般乗用旅客自動車運送事業（１人１車制個人タクシーを除く。）の</t>
    <phoneticPr fontId="2"/>
  </si>
  <si>
    <t>記</t>
  </si>
  <si>
    <t>　</t>
    <phoneticPr fontId="8"/>
  </si>
  <si>
    <t>別紙のとおり</t>
    <phoneticPr fontId="2"/>
  </si>
  <si>
    <t>　　　近畿運輸局長　　殿</t>
    <phoneticPr fontId="8"/>
  </si>
  <si>
    <t>　　　　</t>
    <phoneticPr fontId="1"/>
  </si>
  <si>
    <t>１　割　引</t>
    <phoneticPr fontId="1"/>
  </si>
  <si>
    <t>変更の申請</t>
    <rPh sb="0" eb="2">
      <t>ヘンコウ</t>
    </rPh>
    <rPh sb="3" eb="5">
      <t>シンセイ</t>
    </rPh>
    <phoneticPr fontId="1"/>
  </si>
  <si>
    <t>設定の申請</t>
    <rPh sb="0" eb="2">
      <t>セッテイ</t>
    </rPh>
    <rPh sb="3" eb="5">
      <t>シンセイ</t>
    </rPh>
    <phoneticPr fontId="1"/>
  </si>
  <si>
    <t>運賃の割引</t>
    <phoneticPr fontId="1"/>
  </si>
  <si>
    <t>特定大型車</t>
    <phoneticPr fontId="1"/>
  </si>
  <si>
    <t>道路運送車両法施行規則第２条に定める普通自動車（以下</t>
    <phoneticPr fontId="1"/>
  </si>
  <si>
    <t>自動車」という。）のうち乗車定員が７名以上のもの。</t>
    <phoneticPr fontId="1"/>
  </si>
  <si>
    <t>「普通自動車」という。）又は小型自動車（以下「小型</t>
    <phoneticPr fontId="1"/>
  </si>
  <si>
    <t>会社住所</t>
    <rPh sb="0" eb="2">
      <t>カイシャ</t>
    </rPh>
    <phoneticPr fontId="1"/>
  </si>
  <si>
    <t>設定する（タクシーメーターを設置する）</t>
    <rPh sb="0" eb="2">
      <t>セッテイ</t>
    </rPh>
    <rPh sb="14" eb="16">
      <t>セッチ</t>
    </rPh>
    <phoneticPr fontId="1"/>
  </si>
  <si>
    <t>設定しない（タクシーメーターを設置しない）</t>
    <rPh sb="0" eb="2">
      <t>セッテイ</t>
    </rPh>
    <rPh sb="15" eb="17">
      <t>セッチ</t>
    </rPh>
    <phoneticPr fontId="1"/>
  </si>
  <si>
    <t>代表者名</t>
    <phoneticPr fontId="8"/>
  </si>
  <si>
    <t>道路運送法第９条の３及び同法施行規則第１０条の３の規定により、下記のとおり申請致します。</t>
    <phoneticPr fontId="1"/>
  </si>
  <si>
    <t>住所</t>
    <phoneticPr fontId="8"/>
  </si>
  <si>
    <t>　２．設定（変更）しようとする運賃及び料金を適用する営業区域</t>
    <rPh sb="6" eb="8">
      <t>ヘンコウ</t>
    </rPh>
    <phoneticPr fontId="2"/>
  </si>
  <si>
    <t>　１．氏名又は名称及び住所並びに法人にあっては、その代表者の氏名</t>
    <phoneticPr fontId="1"/>
  </si>
  <si>
    <t>　３．設定（変更）しようとする運賃及び料金の種類、額及び適用方法</t>
    <rPh sb="6" eb="8">
      <t>ヘンコウ</t>
    </rPh>
    <phoneticPr fontId="8"/>
  </si>
  <si>
    <t>大　型　車</t>
    <phoneticPr fontId="1"/>
  </si>
  <si>
    <t>普　通　車</t>
    <phoneticPr fontId="1"/>
  </si>
  <si>
    <t>以下のいずれかに該当する自動車。</t>
    <phoneticPr fontId="1"/>
  </si>
  <si>
    <t>備　　　考　</t>
    <phoneticPr fontId="1"/>
  </si>
  <si>
    <t>一　次号に掲げる自動車以外の自動車</t>
  </si>
  <si>
    <t>ア　乗車定員が７名以上のもの　大型車</t>
  </si>
  <si>
    <t>イ　乗車定員が６名以下のもの　普通車</t>
  </si>
  <si>
    <t>ア　普通自動車　普通自動車</t>
  </si>
  <si>
    <t>イ　小型自動車　小型自動車</t>
  </si>
  <si>
    <t>３　上記の車種区分において、ハイブリッド自動車とは、</t>
    <phoneticPr fontId="1"/>
  </si>
  <si>
    <t>内燃機関を搭載し、併せて電気又は蓄圧器に蓄えられた</t>
    <phoneticPr fontId="1"/>
  </si>
  <si>
    <t>圧力を動力源として用いる自動車をいう。</t>
    <phoneticPr fontId="1"/>
  </si>
  <si>
    <t>一　普通自動車又は小型自動車のうち特定大型車及び大型</t>
    <phoneticPr fontId="1"/>
  </si>
  <si>
    <t>車に該当する自動車以外のもの。</t>
    <phoneticPr fontId="1"/>
  </si>
  <si>
    <t>二　道路運送車両法施行規則第２条に定める軽自動車（</t>
    <phoneticPr fontId="1"/>
  </si>
  <si>
    <t>１　自動車の大きさ等については、自動車検査証に記載</t>
    <phoneticPr fontId="1"/>
  </si>
  <si>
    <t>されている諸元を基準とする。</t>
    <phoneticPr fontId="1"/>
  </si>
  <si>
    <t>２　車体の形状が患者輸送車、車いす移動車又は身体障害</t>
    <phoneticPr fontId="1"/>
  </si>
  <si>
    <t>は、上記の車種区分によらず、以下の区分を適用する。</t>
    <phoneticPr fontId="1"/>
  </si>
  <si>
    <t>者輸送車である特種自動車（軽自動車を除く。）について</t>
    <phoneticPr fontId="1"/>
  </si>
  <si>
    <t>普通自動車のうち排気量が２リットル（ハイブリッド自</t>
    <phoneticPr fontId="1"/>
  </si>
  <si>
    <t>動車にあっては２．５リットル。）を超えるもので</t>
    <phoneticPr fontId="1"/>
  </si>
  <si>
    <t>あって乗車定員が６名以下のもの。</t>
    <phoneticPr fontId="1"/>
  </si>
  <si>
    <t>二　専ら旅客を寝台に乗せて運行することを目的とする</t>
    <phoneticPr fontId="1"/>
  </si>
  <si>
    <t>自動車</t>
    <phoneticPr fontId="1"/>
  </si>
  <si>
    <t>距離制運賃</t>
    <rPh sb="0" eb="2">
      <t>キョリ</t>
    </rPh>
    <rPh sb="2" eb="3">
      <t>セイ</t>
    </rPh>
    <rPh sb="3" eb="5">
      <t>ウンチン</t>
    </rPh>
    <phoneticPr fontId="1"/>
  </si>
  <si>
    <t>身体障害者割引は、身体障害者福祉法の規定により身体障害者手帳の交付を受けている者について適用する。</t>
  </si>
  <si>
    <t>知的障害者割引は、療育手帳制度要綱（昭和48年９月27日、厚生事務次官通知）に規定する知的障害者の療育手帳の交付を受けている者について適用する。</t>
  </si>
  <si>
    <t>設定</t>
    <rPh sb="0" eb="2">
      <t>セッテイ</t>
    </rPh>
    <phoneticPr fontId="2"/>
  </si>
  <si>
    <r>
      <rPr>
        <sz val="11"/>
        <rFont val="ＭＳ Ｐゴシック"/>
        <family val="3"/>
        <charset val="128"/>
      </rPr>
      <t>　</t>
    </r>
    <r>
      <rPr>
        <u/>
        <sz val="11"/>
        <rFont val="ＭＳ Ｐゴシック"/>
        <family val="3"/>
        <charset val="128"/>
      </rPr>
      <t>添付資料</t>
    </r>
    <phoneticPr fontId="1"/>
  </si>
  <si>
    <t>住所：</t>
    <phoneticPr fontId="8"/>
  </si>
  <si>
    <t>名称：</t>
    <phoneticPr fontId="8"/>
  </si>
  <si>
    <t>代表者名：</t>
    <phoneticPr fontId="8"/>
  </si>
  <si>
    <t>普通車</t>
    <rPh sb="0" eb="3">
      <t>フツウシャ</t>
    </rPh>
    <phoneticPr fontId="1"/>
  </si>
  <si>
    <t xml:space="preserve">設定する（定額制）  </t>
    <rPh sb="0" eb="2">
      <t>セッテイ</t>
    </rPh>
    <rPh sb="5" eb="8">
      <t>テイガクセイ</t>
    </rPh>
    <phoneticPr fontId="1"/>
  </si>
  <si>
    <t>　</t>
    <phoneticPr fontId="1"/>
  </si>
  <si>
    <t>・</t>
    <phoneticPr fontId="1"/>
  </si>
  <si>
    <t>作成の前に</t>
    <rPh sb="0" eb="2">
      <t>サクセイ</t>
    </rPh>
    <rPh sb="3" eb="4">
      <t>マエ</t>
    </rPh>
    <phoneticPr fontId="1"/>
  </si>
  <si>
    <t>申請者の基本情報を入力してください。</t>
    <rPh sb="0" eb="3">
      <t>シンセイシャ</t>
    </rPh>
    <rPh sb="4" eb="6">
      <t>キホン</t>
    </rPh>
    <rPh sb="6" eb="8">
      <t>ジョウホウ</t>
    </rPh>
    <rPh sb="9" eb="11">
      <t>ニュウリョク</t>
    </rPh>
    <phoneticPr fontId="1"/>
  </si>
  <si>
    <t>申請の種類について、選択してください。</t>
    <rPh sb="0" eb="2">
      <t>シンセイ</t>
    </rPh>
    <rPh sb="3" eb="5">
      <t>シュルイ</t>
    </rPh>
    <rPh sb="10" eb="12">
      <t>センタク</t>
    </rPh>
    <phoneticPr fontId="1"/>
  </si>
  <si>
    <t>自動認可運賃から、希望する運賃を選択してください。</t>
    <rPh sb="0" eb="2">
      <t>ジドウ</t>
    </rPh>
    <rPh sb="2" eb="4">
      <t>ニンカ</t>
    </rPh>
    <rPh sb="4" eb="6">
      <t>ウンチン</t>
    </rPh>
    <rPh sb="9" eb="11">
      <t>キボウ</t>
    </rPh>
    <rPh sb="13" eb="15">
      <t>ウンチン</t>
    </rPh>
    <rPh sb="16" eb="18">
      <t>センタク</t>
    </rPh>
    <phoneticPr fontId="1"/>
  </si>
  <si>
    <t>（運輸局整理用）</t>
    <rPh sb="1" eb="4">
      <t>ウンユキョク</t>
    </rPh>
    <rPh sb="4" eb="6">
      <t>セイリ</t>
    </rPh>
    <rPh sb="6" eb="7">
      <t>ヨウ</t>
    </rPh>
    <phoneticPr fontId="1"/>
  </si>
  <si>
    <t>迎有</t>
    <rPh sb="0" eb="1">
      <t>ムカエ</t>
    </rPh>
    <rPh sb="1" eb="2">
      <t>タモツ</t>
    </rPh>
    <phoneticPr fontId="1"/>
  </si>
  <si>
    <t>迎有（定額制）</t>
    <rPh sb="0" eb="1">
      <t>ムカエ</t>
    </rPh>
    <rPh sb="1" eb="2">
      <t>タモツ</t>
    </rPh>
    <rPh sb="3" eb="6">
      <t>テイガクセイ</t>
    </rPh>
    <phoneticPr fontId="1"/>
  </si>
  <si>
    <t>免許返納</t>
    <rPh sb="0" eb="2">
      <t>メンキョ</t>
    </rPh>
    <rPh sb="2" eb="4">
      <t>ヘンノウ</t>
    </rPh>
    <phoneticPr fontId="1"/>
  </si>
  <si>
    <t>高</t>
    <rPh sb="0" eb="1">
      <t>タカ</t>
    </rPh>
    <phoneticPr fontId="1"/>
  </si>
  <si>
    <t>S</t>
    <phoneticPr fontId="1"/>
  </si>
  <si>
    <t>（対応する区域の自動認可運賃シートに移動します）</t>
    <rPh sb="1" eb="3">
      <t>タイオウ</t>
    </rPh>
    <rPh sb="5" eb="7">
      <t>クイキ</t>
    </rPh>
    <rPh sb="8" eb="10">
      <t>ジドウ</t>
    </rPh>
    <rPh sb="10" eb="12">
      <t>ニンカ</t>
    </rPh>
    <rPh sb="12" eb="14">
      <t>ウンチン</t>
    </rPh>
    <rPh sb="18" eb="20">
      <t>イドウ</t>
    </rPh>
    <phoneticPr fontId="1"/>
  </si>
  <si>
    <t>→</t>
    <phoneticPr fontId="1"/>
  </si>
  <si>
    <t>大阪</t>
  </si>
  <si>
    <t>京都北部</t>
  </si>
  <si>
    <t>大阪府</t>
    <rPh sb="0" eb="2">
      <t>オオサカ</t>
    </rPh>
    <rPh sb="2" eb="3">
      <t>フ</t>
    </rPh>
    <phoneticPr fontId="1"/>
  </si>
  <si>
    <t>運賃を適用する営業所を設置する（している）区域を選択してください</t>
    <rPh sb="0" eb="2">
      <t>ウンチン</t>
    </rPh>
    <rPh sb="3" eb="5">
      <t>テキヨウ</t>
    </rPh>
    <rPh sb="7" eb="10">
      <t>エイギョウショ</t>
    </rPh>
    <rPh sb="11" eb="13">
      <t>セッチ</t>
    </rPh>
    <rPh sb="21" eb="23">
      <t>クイキ</t>
    </rPh>
    <rPh sb="24" eb="26">
      <t>センタク</t>
    </rPh>
    <phoneticPr fontId="1"/>
  </si>
  <si>
    <t>→</t>
    <phoneticPr fontId="1"/>
  </si>
  <si>
    <t>→</t>
    <phoneticPr fontId="1"/>
  </si>
  <si>
    <t>大型車</t>
    <rPh sb="0" eb="2">
      <t>オオガタ</t>
    </rPh>
    <rPh sb="2" eb="3">
      <t>シャ</t>
    </rPh>
    <phoneticPr fontId="1"/>
  </si>
  <si>
    <t>申請予定日</t>
    <rPh sb="0" eb="2">
      <t>シンセイ</t>
    </rPh>
    <rPh sb="2" eb="4">
      <t>ヨテイ</t>
    </rPh>
    <rPh sb="4" eb="5">
      <t>ヒ</t>
    </rPh>
    <phoneticPr fontId="1"/>
  </si>
  <si>
    <t>普通車</t>
    <rPh sb="0" eb="3">
      <t>フツウシャ</t>
    </rPh>
    <phoneticPr fontId="1"/>
  </si>
  <si>
    <t>この様式にかかる相談先</t>
    <rPh sb="2" eb="4">
      <t>ヨウシキ</t>
    </rPh>
    <rPh sb="8" eb="10">
      <t>ソウダン</t>
    </rPh>
    <rPh sb="10" eb="11">
      <t>サキ</t>
    </rPh>
    <phoneticPr fontId="1"/>
  </si>
  <si>
    <t>572-0846</t>
  </si>
  <si>
    <t>寝屋川市高宮栄町１２－１</t>
  </si>
  <si>
    <t>大阪運輸支局</t>
    <phoneticPr fontId="1"/>
  </si>
  <si>
    <t>輸送部門</t>
    <rPh sb="0" eb="2">
      <t>ユソウ</t>
    </rPh>
    <rPh sb="2" eb="4">
      <t>ブモン</t>
    </rPh>
    <phoneticPr fontId="1"/>
  </si>
  <si>
    <t>06-6949-6446</t>
    <phoneticPr fontId="1"/>
  </si>
  <si>
    <t>06-6949-6531</t>
    <phoneticPr fontId="1"/>
  </si>
  <si>
    <t>TEL</t>
    <phoneticPr fontId="1"/>
  </si>
  <si>
    <t>FAX</t>
    <phoneticPr fontId="1"/>
  </si>
  <si>
    <t>近畿運輸局自動車交通部</t>
    <rPh sb="0" eb="2">
      <t>キンキ</t>
    </rPh>
    <rPh sb="2" eb="5">
      <t>ウンユキョク</t>
    </rPh>
    <rPh sb="5" eb="8">
      <t>ジドウシャ</t>
    </rPh>
    <rPh sb="8" eb="11">
      <t>コウツウブ</t>
    </rPh>
    <phoneticPr fontId="1"/>
  </si>
  <si>
    <t>072-822-6733</t>
    <phoneticPr fontId="1"/>
  </si>
  <si>
    <t>072-822-3317</t>
    <phoneticPr fontId="1"/>
  </si>
  <si>
    <t>①</t>
    <phoneticPr fontId="1"/>
  </si>
  <si>
    <t>②</t>
    <phoneticPr fontId="1"/>
  </si>
  <si>
    <t>③</t>
    <phoneticPr fontId="1"/>
  </si>
  <si>
    <t>車種区分１</t>
    <rPh sb="0" eb="2">
      <t>シャシュ</t>
    </rPh>
    <rPh sb="2" eb="4">
      <t>クブン</t>
    </rPh>
    <phoneticPr fontId="1"/>
  </si>
  <si>
    <t>車種区分２</t>
    <rPh sb="0" eb="2">
      <t>シャシュ</t>
    </rPh>
    <rPh sb="2" eb="4">
      <t>クブン</t>
    </rPh>
    <phoneticPr fontId="1"/>
  </si>
  <si>
    <t>自動車」という。）のうち乗車定員が９名以上のもの。</t>
    <phoneticPr fontId="1"/>
  </si>
  <si>
    <t>あって乗車定員が８名以下のもの。</t>
    <phoneticPr fontId="1"/>
  </si>
  <si>
    <t>車種区分３</t>
    <rPh sb="0" eb="2">
      <t>シャシュ</t>
    </rPh>
    <rPh sb="2" eb="4">
      <t>クブン</t>
    </rPh>
    <phoneticPr fontId="1"/>
  </si>
  <si>
    <t>自動車以外のもの。</t>
    <phoneticPr fontId="1"/>
  </si>
  <si>
    <t>一　普通自動車のうち特定大型車及び大型車に該当する</t>
    <phoneticPr fontId="1"/>
  </si>
  <si>
    <t>二　小型自動車のうち乗車定員が６名以下のもの</t>
    <rPh sb="2" eb="4">
      <t>コガタ</t>
    </rPh>
    <rPh sb="4" eb="7">
      <t>ジドウシャ</t>
    </rPh>
    <rPh sb="10" eb="12">
      <t>ジョウシャ</t>
    </rPh>
    <rPh sb="12" eb="14">
      <t>テイイン</t>
    </rPh>
    <rPh sb="16" eb="17">
      <t>メイ</t>
    </rPh>
    <rPh sb="17" eb="19">
      <t>イカ</t>
    </rPh>
    <phoneticPr fontId="1"/>
  </si>
  <si>
    <t>（小型自動車のうち長さが４．６メートル未満であって</t>
    <rPh sb="1" eb="6">
      <t>コガタジドウシャ</t>
    </rPh>
    <rPh sb="9" eb="10">
      <t>ナガ</t>
    </rPh>
    <rPh sb="19" eb="21">
      <t>ミマン</t>
    </rPh>
    <phoneticPr fontId="1"/>
  </si>
  <si>
    <t>乗車定員が５名以下のものを除く。）。</t>
    <rPh sb="0" eb="2">
      <t>ジョウシャ</t>
    </rPh>
    <rPh sb="2" eb="4">
      <t>テイイン</t>
    </rPh>
    <rPh sb="6" eb="7">
      <t>メイ</t>
    </rPh>
    <rPh sb="7" eb="9">
      <t>イカ</t>
    </rPh>
    <rPh sb="13" eb="14">
      <t>ノゾ</t>
    </rPh>
    <phoneticPr fontId="1"/>
  </si>
  <si>
    <t>中　型　車</t>
    <rPh sb="0" eb="1">
      <t>ナカ</t>
    </rPh>
    <phoneticPr fontId="1"/>
  </si>
  <si>
    <t>小　型　車</t>
    <rPh sb="0" eb="1">
      <t>コ</t>
    </rPh>
    <phoneticPr fontId="1"/>
  </si>
  <si>
    <t>一　小型自動車のうち長さが４．６メートル未満であって</t>
    <rPh sb="2" eb="4">
      <t>コガタ</t>
    </rPh>
    <rPh sb="10" eb="11">
      <t>ナガ</t>
    </rPh>
    <phoneticPr fontId="1"/>
  </si>
  <si>
    <t>乗車定員が５名以下のもの。</t>
    <rPh sb="0" eb="2">
      <t>ジョウシャ</t>
    </rPh>
    <rPh sb="2" eb="4">
      <t>テイイン</t>
    </rPh>
    <rPh sb="6" eb="7">
      <t>ナ</t>
    </rPh>
    <rPh sb="7" eb="9">
      <t>イカ</t>
    </rPh>
    <phoneticPr fontId="1"/>
  </si>
  <si>
    <t>以下「軽自動車」という。）（内燃機関を搭載しない</t>
    <rPh sb="0" eb="2">
      <t>イカ</t>
    </rPh>
    <phoneticPr fontId="1"/>
  </si>
  <si>
    <t>もの又は福祉輸送サービスの用に供するものに限る。）。</t>
    <phoneticPr fontId="1"/>
  </si>
  <si>
    <t>ただし、特殊なバンパー等を装置した自動車は、標準バン</t>
    <rPh sb="4" eb="6">
      <t>トクシュ</t>
    </rPh>
    <rPh sb="11" eb="12">
      <t>トウ</t>
    </rPh>
    <rPh sb="13" eb="15">
      <t>ソウチ</t>
    </rPh>
    <rPh sb="17" eb="20">
      <t>ジドウシャ</t>
    </rPh>
    <rPh sb="22" eb="24">
      <t>ヒョウジュン</t>
    </rPh>
    <phoneticPr fontId="1"/>
  </si>
  <si>
    <t>パーを装置した自動車の長さとする。</t>
    <rPh sb="3" eb="5">
      <t>ソウチ</t>
    </rPh>
    <rPh sb="7" eb="10">
      <t>ジドウシャ</t>
    </rPh>
    <rPh sb="11" eb="12">
      <t>ナガ</t>
    </rPh>
    <phoneticPr fontId="1"/>
  </si>
  <si>
    <t>イ　乗車定員が６名以下のもの　中型車</t>
    <rPh sb="15" eb="17">
      <t>チュウガタ</t>
    </rPh>
    <phoneticPr fontId="1"/>
  </si>
  <si>
    <t>４　「標準仕様ユニバーサルデザインタクシー認定要領」</t>
    <rPh sb="3" eb="5">
      <t>ヒョウジュン</t>
    </rPh>
    <rPh sb="5" eb="7">
      <t>シヨウ</t>
    </rPh>
    <rPh sb="21" eb="23">
      <t>ニンテイ</t>
    </rPh>
    <rPh sb="23" eb="25">
      <t>ヨウリョウ</t>
    </rPh>
    <phoneticPr fontId="1"/>
  </si>
  <si>
    <t>（平成２４年３月２８日付け国自旅第１９２号」に基づき</t>
    <rPh sb="7" eb="8">
      <t>ガツ</t>
    </rPh>
    <rPh sb="10" eb="11">
      <t>ニチ</t>
    </rPh>
    <rPh sb="11" eb="12">
      <t>ヅ</t>
    </rPh>
    <rPh sb="13" eb="14">
      <t>コク</t>
    </rPh>
    <rPh sb="14" eb="15">
      <t>ジ</t>
    </rPh>
    <rPh sb="15" eb="16">
      <t>リョ</t>
    </rPh>
    <rPh sb="16" eb="17">
      <t>ダイ</t>
    </rPh>
    <rPh sb="20" eb="21">
      <t>ゴウ</t>
    </rPh>
    <rPh sb="23" eb="24">
      <t>モト</t>
    </rPh>
    <phoneticPr fontId="1"/>
  </si>
  <si>
    <t>認定された型式のうち通称名「ＪＰＮ　ＴＡＸＩ」につい</t>
    <phoneticPr fontId="1"/>
  </si>
  <si>
    <t>ては、上記の車種区分によらず、中型車の区分を適用する。</t>
    <rPh sb="3" eb="5">
      <t>ジョウキ</t>
    </rPh>
    <rPh sb="6" eb="8">
      <t>シャシュ</t>
    </rPh>
    <rPh sb="8" eb="10">
      <t>クブン</t>
    </rPh>
    <rPh sb="15" eb="18">
      <t>チュウガタシャ</t>
    </rPh>
    <rPh sb="19" eb="21">
      <t>クブン</t>
    </rPh>
    <rPh sb="22" eb="24">
      <t>テキヨウ</t>
    </rPh>
    <phoneticPr fontId="1"/>
  </si>
  <si>
    <t>車種区分４</t>
    <rPh sb="0" eb="2">
      <t>シャシュ</t>
    </rPh>
    <rPh sb="2" eb="4">
      <t>クブン</t>
    </rPh>
    <phoneticPr fontId="1"/>
  </si>
  <si>
    <t>名称</t>
    <phoneticPr fontId="1"/>
  </si>
  <si>
    <t xml:space="preserve"> </t>
    <phoneticPr fontId="1"/>
  </si>
  <si>
    <t>その他、特殊な運賃設定を申請する場合は、近畿運輸局へご相談ください。</t>
    <rPh sb="2" eb="3">
      <t>タ</t>
    </rPh>
    <rPh sb="4" eb="6">
      <t>トクシュ</t>
    </rPh>
    <rPh sb="7" eb="9">
      <t>ウンチン</t>
    </rPh>
    <rPh sb="9" eb="11">
      <t>セッテイ</t>
    </rPh>
    <rPh sb="12" eb="14">
      <t>シンセイ</t>
    </rPh>
    <rPh sb="16" eb="18">
      <t>バアイ</t>
    </rPh>
    <rPh sb="20" eb="22">
      <t>キンキ</t>
    </rPh>
    <rPh sb="22" eb="25">
      <t>ウンユキョク</t>
    </rPh>
    <rPh sb="27" eb="29">
      <t>ソウダン</t>
    </rPh>
    <phoneticPr fontId="1"/>
  </si>
  <si>
    <t>※現在の認可書を申請書に添付してください。</t>
    <phoneticPr fontId="1"/>
  </si>
  <si>
    <t>エラーチェック</t>
    <phoneticPr fontId="1"/>
  </si>
  <si>
    <t>初乗距離</t>
    <rPh sb="0" eb="1">
      <t>ハツ</t>
    </rPh>
    <rPh sb="1" eb="2">
      <t>ノ</t>
    </rPh>
    <rPh sb="2" eb="4">
      <t>キョリ</t>
    </rPh>
    <phoneticPr fontId="1"/>
  </si>
  <si>
    <t>初乗時間</t>
    <rPh sb="0" eb="1">
      <t>ハツ</t>
    </rPh>
    <rPh sb="1" eb="2">
      <t>ノ</t>
    </rPh>
    <rPh sb="2" eb="4">
      <t>ジカン</t>
    </rPh>
    <phoneticPr fontId="1"/>
  </si>
  <si>
    <t>設定範囲</t>
    <rPh sb="0" eb="2">
      <t>セッテイ</t>
    </rPh>
    <rPh sb="2" eb="4">
      <t>ハンイ</t>
    </rPh>
    <phoneticPr fontId="1"/>
  </si>
  <si>
    <t>車種区分</t>
    <rPh sb="0" eb="2">
      <t>シャシュ</t>
    </rPh>
    <rPh sb="2" eb="4">
      <t>クブン</t>
    </rPh>
    <phoneticPr fontId="1"/>
  </si>
  <si>
    <t>車種区分①</t>
    <rPh sb="0" eb="2">
      <t>シャシュ</t>
    </rPh>
    <rPh sb="2" eb="4">
      <t>クブン</t>
    </rPh>
    <phoneticPr fontId="1"/>
  </si>
  <si>
    <t>車種区分②</t>
    <rPh sb="0" eb="2">
      <t>シャシュ</t>
    </rPh>
    <rPh sb="2" eb="4">
      <t>クブン</t>
    </rPh>
    <phoneticPr fontId="1"/>
  </si>
  <si>
    <t>車種区分③</t>
    <rPh sb="0" eb="2">
      <t>シャシュ</t>
    </rPh>
    <rPh sb="2" eb="4">
      <t>クブン</t>
    </rPh>
    <phoneticPr fontId="1"/>
  </si>
  <si>
    <t>車種区分④</t>
    <rPh sb="0" eb="2">
      <t>シャシュ</t>
    </rPh>
    <rPh sb="2" eb="4">
      <t>クブン</t>
    </rPh>
    <phoneticPr fontId="1"/>
  </si>
  <si>
    <t>入力後→</t>
    <rPh sb="0" eb="2">
      <t>ニュウリョク</t>
    </rPh>
    <rPh sb="2" eb="3">
      <t>ゴ</t>
    </rPh>
    <phoneticPr fontId="2"/>
  </si>
  <si>
    <t>京都北部!$A$15</t>
    <phoneticPr fontId="1"/>
  </si>
  <si>
    <t>京都北部!$A$16:$Z$18</t>
    <phoneticPr fontId="1"/>
  </si>
  <si>
    <t>京都北部!$A$22</t>
    <phoneticPr fontId="1"/>
  </si>
  <si>
    <t>京都北部!$A$23:$Z$25</t>
    <phoneticPr fontId="1"/>
  </si>
  <si>
    <t>京都北部!$O$15</t>
  </si>
  <si>
    <t>京都北部!$O$16:$Z$18</t>
  </si>
  <si>
    <t>京都北部!$O$22</t>
  </si>
  <si>
    <t>京都北部!$O$23:$Z$25</t>
  </si>
  <si>
    <t>特定大型車</t>
    <rPh sb="0" eb="2">
      <t>トクテイ</t>
    </rPh>
    <rPh sb="2" eb="5">
      <t>オオガタシャ</t>
    </rPh>
    <phoneticPr fontId="1"/>
  </si>
  <si>
    <t>大阪!$A$8</t>
    <phoneticPr fontId="1"/>
  </si>
  <si>
    <t>大阪!$O$8</t>
    <phoneticPr fontId="1"/>
  </si>
  <si>
    <t>加算時間</t>
    <rPh sb="0" eb="2">
      <t>カサン</t>
    </rPh>
    <rPh sb="2" eb="4">
      <t>ジカン</t>
    </rPh>
    <phoneticPr fontId="1"/>
  </si>
  <si>
    <t>京都市域!$O$８</t>
    <rPh sb="0" eb="2">
      <t>キョウト</t>
    </rPh>
    <rPh sb="2" eb="4">
      <t>シイキ</t>
    </rPh>
    <phoneticPr fontId="1"/>
  </si>
  <si>
    <t>京都北部!$A$9:$Z$11</t>
    <phoneticPr fontId="1"/>
  </si>
  <si>
    <t>京都北部!$O$8</t>
  </si>
  <si>
    <t>京都北部!$O$9:$Z$11</t>
  </si>
  <si>
    <t>迎無</t>
    <rPh sb="1" eb="2">
      <t>ナ</t>
    </rPh>
    <phoneticPr fontId="1"/>
  </si>
  <si>
    <t>京都市域!$A$8</t>
    <rPh sb="0" eb="2">
      <t>キョウト</t>
    </rPh>
    <rPh sb="2" eb="4">
      <t>シイキ</t>
    </rPh>
    <phoneticPr fontId="1"/>
  </si>
  <si>
    <t>TEL</t>
    <phoneticPr fontId="1"/>
  </si>
  <si>
    <t>FAX</t>
    <phoneticPr fontId="1"/>
  </si>
  <si>
    <t>１．適用する営業区域</t>
    <phoneticPr fontId="1"/>
  </si>
  <si>
    <t>２．距離制運賃</t>
    <phoneticPr fontId="1"/>
  </si>
  <si>
    <t>４．時間制運賃</t>
    <rPh sb="2" eb="4">
      <t>ジカン</t>
    </rPh>
    <phoneticPr fontId="1"/>
  </si>
  <si>
    <r>
      <rPr>
        <sz val="10"/>
        <color rgb="FFFF0000"/>
        <rFont val="Meiryo UI"/>
        <family val="3"/>
        <charset val="128"/>
      </rPr>
      <t>上から順番に</t>
    </r>
    <r>
      <rPr>
        <sz val="10"/>
        <color theme="1"/>
        <rFont val="Meiryo UI"/>
        <family val="3"/>
        <charset val="128"/>
      </rPr>
      <t>記載してください。近畿運輸局に対する申請のみ利用可能です。</t>
    </r>
    <rPh sb="0" eb="1">
      <t>ウエ</t>
    </rPh>
    <rPh sb="3" eb="5">
      <t>ジュンバン</t>
    </rPh>
    <rPh sb="6" eb="8">
      <t>キサイ</t>
    </rPh>
    <rPh sb="15" eb="17">
      <t>キンキ</t>
    </rPh>
    <rPh sb="17" eb="20">
      <t>ウンユキョク</t>
    </rPh>
    <rPh sb="21" eb="22">
      <t>タイ</t>
    </rPh>
    <rPh sb="24" eb="26">
      <t>シンセイ</t>
    </rPh>
    <rPh sb="28" eb="30">
      <t>リヨウ</t>
    </rPh>
    <rPh sb="30" eb="32">
      <t>カノウ</t>
    </rPh>
    <phoneticPr fontId="1"/>
  </si>
  <si>
    <t>設定する（スリップ制 ※迎車時からメーターの計算を始めるもの（初乗距離を上限））</t>
    <rPh sb="0" eb="2">
      <t>セッテイ</t>
    </rPh>
    <rPh sb="9" eb="10">
      <t>セイ</t>
    </rPh>
    <rPh sb="33" eb="35">
      <t>キョリ</t>
    </rPh>
    <phoneticPr fontId="1"/>
  </si>
  <si>
    <t>申請書表紙と、申請書別紙を印刷して、内容を確認のうえ営業所を管轄する運輸支局へ３部（うち控え１部）提出してください</t>
    <rPh sb="18" eb="20">
      <t>ナイヨウ</t>
    </rPh>
    <rPh sb="21" eb="23">
      <t>カクニン</t>
    </rPh>
    <rPh sb="26" eb="29">
      <t>エイギョウショ</t>
    </rPh>
    <rPh sb="30" eb="32">
      <t>カンカツ</t>
    </rPh>
    <rPh sb="34" eb="36">
      <t>ウンユ</t>
    </rPh>
    <rPh sb="36" eb="38">
      <t>シキョク</t>
    </rPh>
    <rPh sb="40" eb="41">
      <t>ブ</t>
    </rPh>
    <rPh sb="44" eb="45">
      <t>ヒカ</t>
    </rPh>
    <rPh sb="47" eb="48">
      <t>ブ</t>
    </rPh>
    <rPh sb="49" eb="51">
      <t>テイシュツ</t>
    </rPh>
    <phoneticPr fontId="1"/>
  </si>
  <si>
    <t>特大</t>
    <rPh sb="0" eb="2">
      <t>トクダイ</t>
    </rPh>
    <phoneticPr fontId="1"/>
  </si>
  <si>
    <t>大型</t>
    <rPh sb="0" eb="2">
      <t>オオガタ</t>
    </rPh>
    <phoneticPr fontId="1"/>
  </si>
  <si>
    <t>京都市域</t>
    <phoneticPr fontId="1"/>
  </si>
  <si>
    <t>京都北部!$A$8</t>
    <phoneticPr fontId="1"/>
  </si>
  <si>
    <t>奈良</t>
    <phoneticPr fontId="1"/>
  </si>
  <si>
    <t>大阪</t>
    <rPh sb="0" eb="2">
      <t>オオサカ</t>
    </rPh>
    <phoneticPr fontId="1"/>
  </si>
  <si>
    <t>到着時算定開始</t>
    <rPh sb="0" eb="3">
      <t>トウチャクジ</t>
    </rPh>
    <rPh sb="3" eb="5">
      <t>サンテイ</t>
    </rPh>
    <rPh sb="5" eb="7">
      <t>カイシ</t>
    </rPh>
    <phoneticPr fontId="1"/>
  </si>
  <si>
    <t>３．迎車回送料金</t>
    <rPh sb="6" eb="8">
      <t>リョウキン</t>
    </rPh>
    <phoneticPr fontId="1"/>
  </si>
  <si>
    <t>時間制</t>
    <rPh sb="0" eb="3">
      <t>ジカンセイ</t>
    </rPh>
    <phoneticPr fontId="1"/>
  </si>
  <si>
    <t>特大</t>
    <rPh sb="0" eb="2">
      <t>トクダイ</t>
    </rPh>
    <phoneticPr fontId="1"/>
  </si>
  <si>
    <t>距離制無</t>
    <rPh sb="0" eb="2">
      <t>キョリ</t>
    </rPh>
    <rPh sb="2" eb="3">
      <t>セイ</t>
    </rPh>
    <rPh sb="3" eb="4">
      <t>ナ</t>
    </rPh>
    <phoneticPr fontId="1"/>
  </si>
  <si>
    <t>・</t>
    <phoneticPr fontId="1"/>
  </si>
  <si>
    <t>初乗運賃</t>
    <rPh sb="0" eb="2">
      <t>ハツノ</t>
    </rPh>
    <rPh sb="2" eb="4">
      <t>ウンチン</t>
    </rPh>
    <phoneticPr fontId="1"/>
  </si>
  <si>
    <t>短縮する</t>
    <rPh sb="0" eb="2">
      <t>タンシュク</t>
    </rPh>
    <phoneticPr fontId="1"/>
  </si>
  <si>
    <t>短縮しない</t>
    <rPh sb="0" eb="2">
      <t>タンシュク</t>
    </rPh>
    <phoneticPr fontId="1"/>
  </si>
  <si>
    <t>短縮あり</t>
    <rPh sb="0" eb="2">
      <t>タンシュク</t>
    </rPh>
    <phoneticPr fontId="1"/>
  </si>
  <si>
    <t>短縮なし</t>
    <rPh sb="0" eb="2">
      <t>タンシュク</t>
    </rPh>
    <phoneticPr fontId="1"/>
  </si>
  <si>
    <t>加算倍率</t>
    <rPh sb="0" eb="2">
      <t>カサン</t>
    </rPh>
    <rPh sb="2" eb="4">
      <t>バイリツ</t>
    </rPh>
    <phoneticPr fontId="1"/>
  </si>
  <si>
    <t>※行・列・シートの追加・削除は計算式が崩れるため、しないでください。</t>
    <rPh sb="1" eb="2">
      <t>ギョウ</t>
    </rPh>
    <rPh sb="3" eb="4">
      <t>レツ</t>
    </rPh>
    <rPh sb="9" eb="11">
      <t>ツイカ</t>
    </rPh>
    <rPh sb="12" eb="14">
      <t>サクジョ</t>
    </rPh>
    <rPh sb="15" eb="18">
      <t>ケイサンシキ</t>
    </rPh>
    <rPh sb="19" eb="20">
      <t>クズ</t>
    </rPh>
    <phoneticPr fontId="1"/>
  </si>
  <si>
    <t>（参考）</t>
    <rPh sb="1" eb="3">
      <t>サンコウ</t>
    </rPh>
    <phoneticPr fontId="2"/>
  </si>
  <si>
    <t>車種区分１</t>
    <rPh sb="0" eb="2">
      <t>シャシュ</t>
    </rPh>
    <rPh sb="2" eb="4">
      <t>クブン</t>
    </rPh>
    <phoneticPr fontId="2"/>
  </si>
  <si>
    <t>車種区分①</t>
    <rPh sb="0" eb="2">
      <t>シャシュ</t>
    </rPh>
    <rPh sb="2" eb="4">
      <t>クブン</t>
    </rPh>
    <phoneticPr fontId="2"/>
  </si>
  <si>
    <t>車種区分ごとに、希望する運賃を上限～下限のうち１つ、「○」で選択してください(A列・O列)</t>
    <phoneticPr fontId="2"/>
  </si>
  <si>
    <t>運転免許証返納者割引(1割引)　※身体障害者、知的障害者割引等とは重複しません。</t>
    <phoneticPr fontId="1"/>
  </si>
  <si>
    <t>高齢者割引(65歳以上)(1割引)　※身体障害者、知的障害者割引等とは重複しません。</t>
    <rPh sb="8" eb="9">
      <t>サイ</t>
    </rPh>
    <rPh sb="9" eb="11">
      <t>イジョウ</t>
    </rPh>
    <phoneticPr fontId="1"/>
  </si>
  <si>
    <t>※申請内容に間違いが無いか、必ず確認してください。</t>
    <rPh sb="1" eb="3">
      <t>シンセイ</t>
    </rPh>
    <rPh sb="3" eb="5">
      <t>ナイヨウ</t>
    </rPh>
    <rPh sb="6" eb="8">
      <t>マチガ</t>
    </rPh>
    <rPh sb="10" eb="11">
      <t>ナ</t>
    </rPh>
    <rPh sb="14" eb="15">
      <t>カナラ</t>
    </rPh>
    <rPh sb="16" eb="18">
      <t>カクニン</t>
    </rPh>
    <phoneticPr fontId="1"/>
  </si>
  <si>
    <t>車種区分５</t>
    <rPh sb="0" eb="2">
      <t>シャシュ</t>
    </rPh>
    <rPh sb="2" eb="4">
      <t>クブン</t>
    </rPh>
    <phoneticPr fontId="1"/>
  </si>
  <si>
    <t>車種区分６</t>
    <rPh sb="0" eb="2">
      <t>シャシュ</t>
    </rPh>
    <rPh sb="2" eb="4">
      <t>クブン</t>
    </rPh>
    <phoneticPr fontId="1"/>
  </si>
  <si>
    <t>車種区分７</t>
    <rPh sb="0" eb="2">
      <t>シャシュ</t>
    </rPh>
    <rPh sb="2" eb="4">
      <t>クブン</t>
    </rPh>
    <phoneticPr fontId="1"/>
  </si>
  <si>
    <t>車種区分８</t>
    <rPh sb="0" eb="2">
      <t>シャシュ</t>
    </rPh>
    <rPh sb="2" eb="4">
      <t>クブン</t>
    </rPh>
    <phoneticPr fontId="1"/>
  </si>
  <si>
    <t>車種区分９</t>
    <rPh sb="0" eb="2">
      <t>シャシュ</t>
    </rPh>
    <rPh sb="2" eb="4">
      <t>クブン</t>
    </rPh>
    <phoneticPr fontId="1"/>
  </si>
  <si>
    <t>車種区分１０</t>
    <rPh sb="0" eb="2">
      <t>シャシュ</t>
    </rPh>
    <rPh sb="2" eb="4">
      <t>クブン</t>
    </rPh>
    <phoneticPr fontId="1"/>
  </si>
  <si>
    <t>車種区分⑤</t>
    <rPh sb="0" eb="2">
      <t>シャシュ</t>
    </rPh>
    <rPh sb="2" eb="4">
      <t>クブン</t>
    </rPh>
    <phoneticPr fontId="1"/>
  </si>
  <si>
    <t>車種区分⑥</t>
    <rPh sb="0" eb="2">
      <t>シャシュ</t>
    </rPh>
    <rPh sb="2" eb="4">
      <t>クブン</t>
    </rPh>
    <phoneticPr fontId="1"/>
  </si>
  <si>
    <t>車種区分⑦</t>
    <rPh sb="0" eb="2">
      <t>シャシュ</t>
    </rPh>
    <rPh sb="2" eb="4">
      <t>クブン</t>
    </rPh>
    <phoneticPr fontId="1"/>
  </si>
  <si>
    <t>車種区分⑧</t>
    <rPh sb="0" eb="2">
      <t>シャシュ</t>
    </rPh>
    <rPh sb="2" eb="4">
      <t>クブン</t>
    </rPh>
    <phoneticPr fontId="1"/>
  </si>
  <si>
    <t>車種区分⑨</t>
    <rPh sb="0" eb="2">
      <t>シャシュ</t>
    </rPh>
    <rPh sb="2" eb="4">
      <t>クブン</t>
    </rPh>
    <phoneticPr fontId="1"/>
  </si>
  <si>
    <t>車種区分⑩</t>
    <rPh sb="0" eb="2">
      <t>シャシュ</t>
    </rPh>
    <rPh sb="2" eb="4">
      <t>クブン</t>
    </rPh>
    <phoneticPr fontId="1"/>
  </si>
  <si>
    <t>代表者役職・代表者名</t>
    <rPh sb="0" eb="3">
      <t>ダイヒョウシャ</t>
    </rPh>
    <rPh sb="3" eb="5">
      <t>ヤクショク</t>
    </rPh>
    <phoneticPr fontId="1"/>
  </si>
  <si>
    <r>
      <rPr>
        <sz val="11"/>
        <color rgb="FFFF0000"/>
        <rFont val="Meiryo UI"/>
        <family val="3"/>
        <charset val="128"/>
      </rPr>
      <t>精神障害者割引(1割引)</t>
    </r>
    <r>
      <rPr>
        <sz val="11"/>
        <color theme="1"/>
        <rFont val="Meiryo UI"/>
        <family val="3"/>
        <charset val="128"/>
      </rPr>
      <t>　　　　　 ※身体障害者、知的障害者割引等とは重複しません。</t>
    </r>
    <rPh sb="9" eb="11">
      <t>ワリビ</t>
    </rPh>
    <rPh sb="19" eb="21">
      <t>シンタイ</t>
    </rPh>
    <rPh sb="25" eb="27">
      <t>チテキ</t>
    </rPh>
    <rPh sb="27" eb="32">
      <t>ショウガイシャワリビ</t>
    </rPh>
    <rPh sb="32" eb="33">
      <t>トウ</t>
    </rPh>
    <rPh sb="35" eb="37">
      <t>チョウフク</t>
    </rPh>
    <phoneticPr fontId="1"/>
  </si>
  <si>
    <t>※他の障害者同様、適用対象とするようご理解ご協力をお願いします。</t>
    <rPh sb="1" eb="2">
      <t>タ</t>
    </rPh>
    <rPh sb="3" eb="6">
      <t>ショウガイシャ</t>
    </rPh>
    <rPh sb="6" eb="8">
      <t>ドウヨウ</t>
    </rPh>
    <phoneticPr fontId="1"/>
  </si>
  <si>
    <t>※excel2013で作成・動作確認済  パソコンにダウンロードして、読み取り専用を解除のうえ、作成してください。</t>
    <rPh sb="35" eb="36">
      <t>ヨ</t>
    </rPh>
    <rPh sb="37" eb="38">
      <t>ト</t>
    </rPh>
    <rPh sb="39" eb="41">
      <t>センヨウ</t>
    </rPh>
    <rPh sb="42" eb="44">
      <t>カイジョ</t>
    </rPh>
    <rPh sb="48" eb="50">
      <t>サクセイ</t>
    </rPh>
    <phoneticPr fontId="1"/>
  </si>
  <si>
    <t>旅客第二課</t>
    <rPh sb="0" eb="2">
      <t>リョカク</t>
    </rPh>
    <rPh sb="2" eb="5">
      <t>ダイニカ</t>
    </rPh>
    <phoneticPr fontId="1"/>
  </si>
  <si>
    <t>※事業開始後の車両入れ替えに備えて、導入予定車両以外の車種区分の設定も可能です（任意）。</t>
    <rPh sb="1" eb="3">
      <t>ジギョウ</t>
    </rPh>
    <rPh sb="3" eb="6">
      <t>カイシゴ</t>
    </rPh>
    <rPh sb="7" eb="10">
      <t>シャリョウイ</t>
    </rPh>
    <rPh sb="11" eb="12">
      <t>カ</t>
    </rPh>
    <rPh sb="14" eb="15">
      <t>ソナ</t>
    </rPh>
    <rPh sb="18" eb="20">
      <t>ドウニュウ</t>
    </rPh>
    <rPh sb="20" eb="22">
      <t>ヨテイ</t>
    </rPh>
    <rPh sb="22" eb="24">
      <t>シャリョウ</t>
    </rPh>
    <rPh sb="24" eb="26">
      <t>イガイ</t>
    </rPh>
    <rPh sb="27" eb="29">
      <t>シャシュ</t>
    </rPh>
    <rPh sb="29" eb="31">
      <t>クブン</t>
    </rPh>
    <rPh sb="32" eb="34">
      <t>セッテイ</t>
    </rPh>
    <rPh sb="35" eb="37">
      <t>カノウ</t>
    </rPh>
    <rPh sb="40" eb="42">
      <t>ニンイ</t>
    </rPh>
    <phoneticPr fontId="1"/>
  </si>
  <si>
    <t>ム</t>
  </si>
  <si>
    <t>イ</t>
    <phoneticPr fontId="1"/>
  </si>
  <si>
    <t>ロ</t>
    <phoneticPr fontId="1"/>
  </si>
  <si>
    <t>ハ</t>
    <phoneticPr fontId="1"/>
  </si>
  <si>
    <t>ニ</t>
    <phoneticPr fontId="1"/>
  </si>
  <si>
    <t>ホ</t>
    <phoneticPr fontId="1"/>
  </si>
  <si>
    <t>ヘ</t>
    <phoneticPr fontId="1"/>
  </si>
  <si>
    <t>ト</t>
    <phoneticPr fontId="1"/>
  </si>
  <si>
    <t>チ</t>
    <phoneticPr fontId="1"/>
  </si>
  <si>
    <t>リ</t>
    <phoneticPr fontId="1"/>
  </si>
  <si>
    <t>ヌ</t>
    <phoneticPr fontId="1"/>
  </si>
  <si>
    <t>ル</t>
    <phoneticPr fontId="1"/>
  </si>
  <si>
    <t>ヲ</t>
    <phoneticPr fontId="1"/>
  </si>
  <si>
    <t>ワ</t>
    <phoneticPr fontId="1"/>
  </si>
  <si>
    <t>カ</t>
    <phoneticPr fontId="1"/>
  </si>
  <si>
    <t>ヨ</t>
    <phoneticPr fontId="1"/>
  </si>
  <si>
    <t>タ</t>
    <phoneticPr fontId="1"/>
  </si>
  <si>
    <t>レ</t>
    <phoneticPr fontId="1"/>
  </si>
  <si>
    <t>ソ</t>
    <phoneticPr fontId="1"/>
  </si>
  <si>
    <t>ツ</t>
    <phoneticPr fontId="1"/>
  </si>
  <si>
    <t>ネ</t>
    <phoneticPr fontId="1"/>
  </si>
  <si>
    <t>ナ</t>
    <phoneticPr fontId="1"/>
  </si>
  <si>
    <t>ラ</t>
    <phoneticPr fontId="1"/>
  </si>
  <si>
    <t>ウ</t>
    <phoneticPr fontId="1"/>
  </si>
  <si>
    <t>ヰ</t>
    <phoneticPr fontId="1"/>
  </si>
  <si>
    <t>ノ</t>
    <phoneticPr fontId="1"/>
  </si>
  <si>
    <t>オ</t>
    <phoneticPr fontId="1"/>
  </si>
  <si>
    <t>奈良!$O$8</t>
  </si>
  <si>
    <t>kkt-taxi-shinsei@</t>
    <phoneticPr fontId="1"/>
  </si>
  <si>
    <t>ki.mlit.go.jp</t>
    <phoneticPr fontId="1"/>
  </si>
  <si>
    <t>奈良!$A$9:$Z$14</t>
    <phoneticPr fontId="1"/>
  </si>
  <si>
    <t>奈良!$A$19:$Z$24</t>
    <phoneticPr fontId="1"/>
  </si>
  <si>
    <t>奈良!$A$29:$Z$34</t>
    <phoneticPr fontId="1"/>
  </si>
  <si>
    <t>奈良!$A$8</t>
    <phoneticPr fontId="1"/>
  </si>
  <si>
    <t>奈良!$A$18</t>
    <phoneticPr fontId="1"/>
  </si>
  <si>
    <t>奈良!$A$28</t>
    <phoneticPr fontId="1"/>
  </si>
  <si>
    <t>奈良!$O$18</t>
    <phoneticPr fontId="1"/>
  </si>
  <si>
    <t>奈良!$O$28</t>
    <phoneticPr fontId="1"/>
  </si>
  <si>
    <t>奈良!$O$9:$Z$14</t>
    <phoneticPr fontId="1"/>
  </si>
  <si>
    <t>奈良!$O$19:$Z$24</t>
    <phoneticPr fontId="1"/>
  </si>
  <si>
    <t>奈良!$O$29:$Z$34</t>
    <phoneticPr fontId="1"/>
  </si>
  <si>
    <t xml:space="preserve">京都市域!$A$9:$Z$13 </t>
    <phoneticPr fontId="1"/>
  </si>
  <si>
    <t>京都市域!$A$18:$Z$21</t>
    <phoneticPr fontId="1"/>
  </si>
  <si>
    <t>京都市域!$A$26:$Z$29</t>
    <phoneticPr fontId="1"/>
  </si>
  <si>
    <t>京都市域!$O$9:$Z$13</t>
    <phoneticPr fontId="1"/>
  </si>
  <si>
    <t>京都市域!$O$18:$Z$21</t>
    <phoneticPr fontId="1"/>
  </si>
  <si>
    <t>京都市域!$O$26:$Z$29</t>
    <phoneticPr fontId="1"/>
  </si>
  <si>
    <t>京都市域!$A$17</t>
    <rPh sb="0" eb="2">
      <t>キョウト</t>
    </rPh>
    <rPh sb="2" eb="4">
      <t>シイキ</t>
    </rPh>
    <phoneticPr fontId="1"/>
  </si>
  <si>
    <t>京都市域!$A$25</t>
    <phoneticPr fontId="1"/>
  </si>
  <si>
    <t>京都市域!$O$17</t>
    <rPh sb="0" eb="2">
      <t>キョウト</t>
    </rPh>
    <rPh sb="2" eb="4">
      <t>シイキ</t>
    </rPh>
    <phoneticPr fontId="1"/>
  </si>
  <si>
    <t>京都市域!$O$25</t>
    <phoneticPr fontId="1"/>
  </si>
  <si>
    <t>滋賀</t>
    <rPh sb="0" eb="2">
      <t>シガ</t>
    </rPh>
    <phoneticPr fontId="1"/>
  </si>
  <si>
    <t>滋賀!$A$8</t>
    <rPh sb="0" eb="2">
      <t>シガ</t>
    </rPh>
    <phoneticPr fontId="1"/>
  </si>
  <si>
    <t>滋賀!$A$19</t>
    <rPh sb="0" eb="2">
      <t>シガ</t>
    </rPh>
    <phoneticPr fontId="1"/>
  </si>
  <si>
    <t>滋賀!$A$30</t>
    <rPh sb="0" eb="2">
      <t>シガ</t>
    </rPh>
    <phoneticPr fontId="1"/>
  </si>
  <si>
    <t>滋賀!$A$20:$Z$26</t>
    <rPh sb="0" eb="2">
      <t>シガ</t>
    </rPh>
    <phoneticPr fontId="1"/>
  </si>
  <si>
    <t>滋賀!$A$9:$Z$15</t>
    <rPh sb="0" eb="2">
      <t>シガ</t>
    </rPh>
    <phoneticPr fontId="1"/>
  </si>
  <si>
    <t>滋賀!$A$31:$Z$37</t>
    <rPh sb="0" eb="2">
      <t>シガ</t>
    </rPh>
    <phoneticPr fontId="1"/>
  </si>
  <si>
    <t>滋賀!$O$19</t>
    <rPh sb="0" eb="2">
      <t>シガ</t>
    </rPh>
    <phoneticPr fontId="1"/>
  </si>
  <si>
    <t>滋賀!$O$30</t>
    <rPh sb="0" eb="2">
      <t>シガ</t>
    </rPh>
    <phoneticPr fontId="1"/>
  </si>
  <si>
    <t>滋賀!$O$9:$Z$15</t>
    <rPh sb="0" eb="2">
      <t>シガ</t>
    </rPh>
    <phoneticPr fontId="1"/>
  </si>
  <si>
    <t>滋賀!$O$20:$Z$26</t>
    <rPh sb="0" eb="2">
      <t>シガ</t>
    </rPh>
    <phoneticPr fontId="1"/>
  </si>
  <si>
    <t>滋賀!$O$31:$Z$37</t>
    <rPh sb="0" eb="2">
      <t>シガ</t>
    </rPh>
    <phoneticPr fontId="1"/>
  </si>
  <si>
    <t>一　普通自動車のうち排気量が２リットルを超えるもので</t>
    <rPh sb="0" eb="1">
      <t>イチ</t>
    </rPh>
    <phoneticPr fontId="1"/>
  </si>
  <si>
    <t>あって乗車定員が７名以上のもの（特定大型車を除く。）。</t>
    <rPh sb="11" eb="12">
      <t>ウエ</t>
    </rPh>
    <rPh sb="16" eb="18">
      <t>トクテイ</t>
    </rPh>
    <rPh sb="18" eb="21">
      <t>オオガタシャ</t>
    </rPh>
    <rPh sb="22" eb="23">
      <t>ノゾ</t>
    </rPh>
    <phoneticPr fontId="1"/>
  </si>
  <si>
    <t>二　普通自動車のうち排気量が２リットル（ハイブリッド</t>
    <rPh sb="0" eb="1">
      <t>ニ</t>
    </rPh>
    <phoneticPr fontId="1"/>
  </si>
  <si>
    <t>自動車にあっては２．５リットル。）を超えるもので</t>
    <phoneticPr fontId="1"/>
  </si>
  <si>
    <t>大阪!$A$18</t>
    <phoneticPr fontId="1"/>
  </si>
  <si>
    <t>大阪!$A$27</t>
    <phoneticPr fontId="1"/>
  </si>
  <si>
    <t>大阪!$A$9:$Z$14</t>
    <phoneticPr fontId="1"/>
  </si>
  <si>
    <t>大阪!$A$19:$Z$23</t>
    <phoneticPr fontId="1"/>
  </si>
  <si>
    <t>大阪!$A$28:$Z$32</t>
    <phoneticPr fontId="1"/>
  </si>
  <si>
    <t>大阪!$O$18</t>
    <phoneticPr fontId="1"/>
  </si>
  <si>
    <t>大阪!$O$27</t>
    <phoneticPr fontId="1"/>
  </si>
  <si>
    <t>大阪!$O$9:$Z$14</t>
    <phoneticPr fontId="1"/>
  </si>
  <si>
    <t>大阪!$O$19:$Z$23</t>
    <phoneticPr fontId="1"/>
  </si>
  <si>
    <t>大阪!$O$28:$Z$32</t>
    <phoneticPr fontId="1"/>
  </si>
  <si>
    <t>運賃改定時の設定変更</t>
    <rPh sb="0" eb="2">
      <t>ウンチン</t>
    </rPh>
    <rPh sb="2" eb="4">
      <t>カイテイ</t>
    </rPh>
    <rPh sb="4" eb="5">
      <t>ジ</t>
    </rPh>
    <rPh sb="6" eb="8">
      <t>セッテイ</t>
    </rPh>
    <rPh sb="8" eb="10">
      <t>ヘンコウ</t>
    </rPh>
    <phoneticPr fontId="1"/>
  </si>
  <si>
    <t>設定１</t>
    <rPh sb="0" eb="2">
      <t>セッテイ</t>
    </rPh>
    <phoneticPr fontId="1"/>
  </si>
  <si>
    <t>設定２</t>
    <rPh sb="0" eb="2">
      <t>セッテイ</t>
    </rPh>
    <phoneticPr fontId="1"/>
  </si>
  <si>
    <t>名前2!A1</t>
    <phoneticPr fontId="1"/>
  </si>
  <si>
    <t>を再表示</t>
    <rPh sb="1" eb="4">
      <t>サイヒョウジ</t>
    </rPh>
    <phoneticPr fontId="1"/>
  </si>
  <si>
    <t>申請書表紙運賃内容表示用</t>
    <rPh sb="0" eb="3">
      <t>シンセイショ</t>
    </rPh>
    <rPh sb="3" eb="5">
      <t>ヒョウシ</t>
    </rPh>
    <rPh sb="5" eb="7">
      <t>ウンチン</t>
    </rPh>
    <rPh sb="7" eb="9">
      <t>ナイヨウ</t>
    </rPh>
    <rPh sb="9" eb="11">
      <t>ヒョウジ</t>
    </rPh>
    <rPh sb="11" eb="12">
      <t>ヨウ</t>
    </rPh>
    <phoneticPr fontId="1"/>
  </si>
  <si>
    <t>車種区分内容を修正</t>
    <rPh sb="0" eb="2">
      <t>シャシュ</t>
    </rPh>
    <rPh sb="2" eb="4">
      <t>クブン</t>
    </rPh>
    <rPh sb="4" eb="6">
      <t>ナイヨウ</t>
    </rPh>
    <rPh sb="7" eb="9">
      <t>シュウセイ</t>
    </rPh>
    <phoneticPr fontId="1"/>
  </si>
  <si>
    <t>N列を小型・中型→普通車に変更された場合にN列を修正</t>
    <rPh sb="1" eb="2">
      <t>レツ</t>
    </rPh>
    <rPh sb="3" eb="5">
      <t>コガタ</t>
    </rPh>
    <rPh sb="6" eb="8">
      <t>チュウガタ</t>
    </rPh>
    <rPh sb="9" eb="12">
      <t>フツウシャ</t>
    </rPh>
    <rPh sb="13" eb="15">
      <t>ヘンコウ</t>
    </rPh>
    <rPh sb="18" eb="20">
      <t>バアイ</t>
    </rPh>
    <rPh sb="22" eb="23">
      <t>レツ</t>
    </rPh>
    <rPh sb="24" eb="26">
      <t>シュウセイ</t>
    </rPh>
    <phoneticPr fontId="1"/>
  </si>
  <si>
    <t>名前2シートで設定した車種区分名にX列を修正</t>
    <rPh sb="0" eb="2">
      <t>ナマエ</t>
    </rPh>
    <rPh sb="7" eb="9">
      <t>セッテイ</t>
    </rPh>
    <rPh sb="11" eb="13">
      <t>シャシュ</t>
    </rPh>
    <rPh sb="13" eb="15">
      <t>クブン</t>
    </rPh>
    <rPh sb="15" eb="16">
      <t>メイ</t>
    </rPh>
    <rPh sb="18" eb="19">
      <t>レツ</t>
    </rPh>
    <rPh sb="20" eb="22">
      <t>シュウセイ</t>
    </rPh>
    <phoneticPr fontId="1"/>
  </si>
  <si>
    <t>ブロック名に対応した府県名と運賃適用をM27:N40に記載する。</t>
    <rPh sb="4" eb="5">
      <t>メイ</t>
    </rPh>
    <rPh sb="6" eb="8">
      <t>タイオウ</t>
    </rPh>
    <rPh sb="10" eb="12">
      <t>フケン</t>
    </rPh>
    <rPh sb="12" eb="13">
      <t>メイ</t>
    </rPh>
    <rPh sb="14" eb="16">
      <t>ウンチン</t>
    </rPh>
    <rPh sb="16" eb="18">
      <t>テキヨウ</t>
    </rPh>
    <rPh sb="27" eb="29">
      <t>キサイ</t>
    </rPh>
    <phoneticPr fontId="1"/>
  </si>
  <si>
    <t>①運賃改定時</t>
    <rPh sb="1" eb="3">
      <t>ウンチン</t>
    </rPh>
    <rPh sb="3" eb="6">
      <t>カイテイジ</t>
    </rPh>
    <phoneticPr fontId="1"/>
  </si>
  <si>
    <t>②車種区分改正時</t>
    <rPh sb="1" eb="3">
      <t>シャシュ</t>
    </rPh>
    <rPh sb="3" eb="5">
      <t>クブン</t>
    </rPh>
    <rPh sb="5" eb="8">
      <t>カイセイジ</t>
    </rPh>
    <phoneticPr fontId="1"/>
  </si>
  <si>
    <t>③運賃ブロック改正時</t>
    <rPh sb="1" eb="3">
      <t>ウンチン</t>
    </rPh>
    <rPh sb="7" eb="10">
      <t>カイセイジ</t>
    </rPh>
    <phoneticPr fontId="1"/>
  </si>
  <si>
    <t>①、②と同様の作業を行う。</t>
    <rPh sb="4" eb="6">
      <t>ドウヨウ</t>
    </rPh>
    <rPh sb="7" eb="9">
      <t>サギョウ</t>
    </rPh>
    <rPh sb="10" eb="11">
      <t>オコナ</t>
    </rPh>
    <phoneticPr fontId="1"/>
  </si>
  <si>
    <t>名前2シート</t>
    <rPh sb="0" eb="2">
      <t>ナマエ</t>
    </rPh>
    <phoneticPr fontId="1"/>
  </si>
  <si>
    <t>設定2</t>
    <rPh sb="0" eb="2">
      <t>セッテイ</t>
    </rPh>
    <phoneticPr fontId="1"/>
  </si>
  <si>
    <t>（改正があった場合）初乗距離、時間制運賃の初乗時間・加算時間を修正</t>
    <rPh sb="10" eb="12">
      <t>ハツノ</t>
    </rPh>
    <rPh sb="12" eb="14">
      <t>キョリ</t>
    </rPh>
    <rPh sb="15" eb="18">
      <t>ジカンセイ</t>
    </rPh>
    <rPh sb="18" eb="20">
      <t>ウンチン</t>
    </rPh>
    <rPh sb="21" eb="23">
      <t>ハツノ</t>
    </rPh>
    <rPh sb="23" eb="25">
      <t>ジカン</t>
    </rPh>
    <rPh sb="26" eb="28">
      <t>カサン</t>
    </rPh>
    <rPh sb="28" eb="30">
      <t>ジカン</t>
    </rPh>
    <rPh sb="31" eb="33">
      <t>シュウセイ</t>
    </rPh>
    <phoneticPr fontId="1"/>
  </si>
  <si>
    <t>ブロック名と同名の自動認可運賃表シートを新運賃に修正する。</t>
    <rPh sb="4" eb="5">
      <t>メイ</t>
    </rPh>
    <rPh sb="6" eb="8">
      <t>ドウメイ</t>
    </rPh>
    <rPh sb="9" eb="11">
      <t>ジドウ</t>
    </rPh>
    <rPh sb="11" eb="13">
      <t>ニンカ</t>
    </rPh>
    <rPh sb="13" eb="16">
      <t>ウンチンヒョウ</t>
    </rPh>
    <rPh sb="20" eb="23">
      <t>シンウンチン</t>
    </rPh>
    <rPh sb="24" eb="26">
      <t>シュウセイ</t>
    </rPh>
    <phoneticPr fontId="1"/>
  </si>
  <si>
    <t>自動認可運賃表シートを参照している範囲について、Y列/AD列は設定判定セル（初期値は「無」）、</t>
    <rPh sb="0" eb="2">
      <t>ジドウ</t>
    </rPh>
    <rPh sb="2" eb="4">
      <t>ニンカ</t>
    </rPh>
    <rPh sb="4" eb="7">
      <t>ウンチンヒョウ</t>
    </rPh>
    <rPh sb="11" eb="13">
      <t>サンショウ</t>
    </rPh>
    <rPh sb="17" eb="19">
      <t>ハンイ</t>
    </rPh>
    <rPh sb="25" eb="26">
      <t>レツ</t>
    </rPh>
    <rPh sb="29" eb="30">
      <t>レツ</t>
    </rPh>
    <rPh sb="31" eb="33">
      <t>セッテイ</t>
    </rPh>
    <rPh sb="33" eb="35">
      <t>ハンテイ</t>
    </rPh>
    <rPh sb="38" eb="41">
      <t>ショキチ</t>
    </rPh>
    <rPh sb="43" eb="44">
      <t>ナ</t>
    </rPh>
    <phoneticPr fontId="1"/>
  </si>
  <si>
    <t>Z列/AE列は各車種区分の上限運賃から下限運賃をカバーしている範囲のセル指定に置き換える。</t>
    <rPh sb="1" eb="2">
      <t>レツ</t>
    </rPh>
    <rPh sb="5" eb="6">
      <t>レツ</t>
    </rPh>
    <rPh sb="7" eb="10">
      <t>カクシャシュ</t>
    </rPh>
    <rPh sb="10" eb="12">
      <t>クブン</t>
    </rPh>
    <rPh sb="13" eb="15">
      <t>ジョウゲン</t>
    </rPh>
    <rPh sb="15" eb="17">
      <t>ウンチン</t>
    </rPh>
    <rPh sb="19" eb="21">
      <t>カゲン</t>
    </rPh>
    <rPh sb="21" eb="23">
      <t>ウンチン</t>
    </rPh>
    <rPh sb="31" eb="33">
      <t>ハンイ</t>
    </rPh>
    <rPh sb="36" eb="38">
      <t>シテイ</t>
    </rPh>
    <rPh sb="39" eb="40">
      <t>オ</t>
    </rPh>
    <rPh sb="41" eb="42">
      <t>カ</t>
    </rPh>
    <phoneticPr fontId="1"/>
  </si>
  <si>
    <t>設定１</t>
    <phoneticPr fontId="1"/>
  </si>
  <si>
    <t>ブロック名運賃シート</t>
    <rPh sb="4" eb="5">
      <t>メイ</t>
    </rPh>
    <rPh sb="5" eb="7">
      <t>ウンチン</t>
    </rPh>
    <phoneticPr fontId="1"/>
  </si>
  <si>
    <t>手引きシートB27:B40のブロック名を修正し、同名の自動認可運賃表のシートを作成する(もしくは既存のシートどれかを修正)。</t>
    <rPh sb="0" eb="2">
      <t>テビ</t>
    </rPh>
    <rPh sb="18" eb="19">
      <t>メイ</t>
    </rPh>
    <rPh sb="20" eb="22">
      <t>シュウセイ</t>
    </rPh>
    <rPh sb="24" eb="26">
      <t>ドウメイ</t>
    </rPh>
    <rPh sb="27" eb="29">
      <t>ジドウ</t>
    </rPh>
    <rPh sb="29" eb="31">
      <t>ニンカ</t>
    </rPh>
    <rPh sb="31" eb="33">
      <t>ウンチン</t>
    </rPh>
    <rPh sb="33" eb="34">
      <t>ヒョウ</t>
    </rPh>
    <rPh sb="39" eb="41">
      <t>サクセイ</t>
    </rPh>
    <rPh sb="48" eb="50">
      <t>キゾン</t>
    </rPh>
    <rPh sb="58" eb="60">
      <t>シュウセイ</t>
    </rPh>
    <phoneticPr fontId="1"/>
  </si>
  <si>
    <t>神戸市域</t>
  </si>
  <si>
    <t>神戸市域!$A$8</t>
  </si>
  <si>
    <t>神戸市域!$A$9:$Z$15</t>
  </si>
  <si>
    <t>神戸市域!$O$8</t>
  </si>
  <si>
    <t>神戸市域!$O$9:$Z$15</t>
  </si>
  <si>
    <t>神戸市域!$A$19</t>
  </si>
  <si>
    <t>神戸市域!$A$20:$Z$26</t>
  </si>
  <si>
    <t>神戸市域!$O$19</t>
  </si>
  <si>
    <t>神戸市域!$O$20:$Z$26</t>
  </si>
  <si>
    <t>神戸市域!$A$30</t>
  </si>
  <si>
    <t>神戸市域!$A$31:$Z$37</t>
  </si>
  <si>
    <t>神戸市域!$O$30</t>
  </si>
  <si>
    <t>神戸市域!$O$31:$Z$37</t>
  </si>
  <si>
    <t>車両入替に備えて、導入予定車両以外の車種区分も全て設定してください。</t>
    <rPh sb="9" eb="13">
      <t>ドウニュウヨテイ</t>
    </rPh>
    <rPh sb="13" eb="15">
      <t>シャリョウ</t>
    </rPh>
    <rPh sb="18" eb="20">
      <t>シャシュ</t>
    </rPh>
    <rPh sb="23" eb="24">
      <t>スベ</t>
    </rPh>
    <phoneticPr fontId="2"/>
  </si>
  <si>
    <t>滋賀!$O$8</t>
    <rPh sb="0" eb="2">
      <t>シガ</t>
    </rPh>
    <phoneticPr fontId="1"/>
  </si>
  <si>
    <t>兵庫</t>
    <rPh sb="0" eb="2">
      <t>ヒョウゴ</t>
    </rPh>
    <phoneticPr fontId="1"/>
  </si>
  <si>
    <t>兵庫!$A$8</t>
  </si>
  <si>
    <t>兵庫!$O$20</t>
    <phoneticPr fontId="1"/>
  </si>
  <si>
    <t>兵庫!$A$20</t>
    <phoneticPr fontId="1"/>
  </si>
  <si>
    <t>兵庫!$A$32</t>
    <phoneticPr fontId="1"/>
  </si>
  <si>
    <t>兵庫!$O$8</t>
    <phoneticPr fontId="1"/>
  </si>
  <si>
    <t>兵庫!$O$32</t>
    <phoneticPr fontId="1"/>
  </si>
  <si>
    <t>兵庫!$O$9:$Z$16</t>
    <phoneticPr fontId="1"/>
  </si>
  <si>
    <t>兵庫!$A$9:$Z$16</t>
    <phoneticPr fontId="1"/>
  </si>
  <si>
    <t>兵庫!$A$21:$Z$28</t>
    <phoneticPr fontId="1"/>
  </si>
  <si>
    <t>兵庫!$O$21:$Z$28</t>
    <phoneticPr fontId="1"/>
  </si>
  <si>
    <t>兵庫!$A$33:$Z$39</t>
    <phoneticPr fontId="1"/>
  </si>
  <si>
    <t>兵庫!$O$33:$Z$39</t>
    <phoneticPr fontId="1"/>
  </si>
  <si>
    <t>普通</t>
    <rPh sb="0" eb="2">
      <t>フツウ</t>
    </rPh>
    <phoneticPr fontId="1"/>
  </si>
  <si>
    <t>距離制設定</t>
    <rPh sb="0" eb="2">
      <t>キョリ</t>
    </rPh>
    <rPh sb="2" eb="3">
      <t>セイ</t>
    </rPh>
    <rPh sb="3" eb="5">
      <t>セッテイ</t>
    </rPh>
    <phoneticPr fontId="1"/>
  </si>
  <si>
    <t>時間制設定</t>
    <rPh sb="0" eb="3">
      <t>ジカンセイ</t>
    </rPh>
    <rPh sb="3" eb="5">
      <t>セッテイ</t>
    </rPh>
    <phoneticPr fontId="1"/>
  </si>
  <si>
    <t>エラー判定</t>
    <rPh sb="3" eb="5">
      <t>ハンテイ</t>
    </rPh>
    <phoneticPr fontId="1"/>
  </si>
  <si>
    <t>づき近畿運輸局長が公示する地域においては、軽自動車と</t>
    <rPh sb="2" eb="4">
      <t>キンキ</t>
    </rPh>
    <rPh sb="4" eb="6">
      <t>ウンユ</t>
    </rPh>
    <rPh sb="6" eb="8">
      <t>キョクチョウ</t>
    </rPh>
    <rPh sb="9" eb="11">
      <t>コウジ</t>
    </rPh>
    <rPh sb="13" eb="15">
      <t>チイキ</t>
    </rPh>
    <rPh sb="21" eb="25">
      <t>ケイジドウシャ</t>
    </rPh>
    <phoneticPr fontId="1"/>
  </si>
  <si>
    <t>する。</t>
    <phoneticPr fontId="1"/>
  </si>
  <si>
    <t>１　自動車検査証に記載されている諸元を基準とする。</t>
    <phoneticPr fontId="1"/>
  </si>
  <si>
    <t>者輸送車である特種自動車については、上記の車種区分に</t>
    <rPh sb="18" eb="20">
      <t>ジョウキ</t>
    </rPh>
    <rPh sb="21" eb="23">
      <t>シャシュ</t>
    </rPh>
    <rPh sb="23" eb="25">
      <t>クブン</t>
    </rPh>
    <phoneticPr fontId="1"/>
  </si>
  <si>
    <t>よらず、以下の区分を適用する。</t>
    <phoneticPr fontId="1"/>
  </si>
  <si>
    <t>以下「軽自動車」という。）のうち、内燃機関を搭載し</t>
    <rPh sb="0" eb="2">
      <t>イカ</t>
    </rPh>
    <phoneticPr fontId="1"/>
  </si>
  <si>
    <t>ないもの又は福祉輸送サービスの用に供するものに限る。</t>
    <phoneticPr fontId="1"/>
  </si>
  <si>
    <t>（令和８年６月１日付け国自旅第３７号）別紙１．に基</t>
    <rPh sb="1" eb="3">
      <t>レイワ</t>
    </rPh>
    <rPh sb="4" eb="5">
      <t>ネン</t>
    </rPh>
    <rPh sb="6" eb="7">
      <t>ガツ</t>
    </rPh>
    <rPh sb="8" eb="9">
      <t>ニチ</t>
    </rPh>
    <rPh sb="9" eb="10">
      <t>ヅ</t>
    </rPh>
    <rPh sb="11" eb="12">
      <t>クニ</t>
    </rPh>
    <rPh sb="12" eb="13">
      <t>ジ</t>
    </rPh>
    <rPh sb="13" eb="14">
      <t>タビ</t>
    </rPh>
    <rPh sb="14" eb="15">
      <t>ダイ</t>
    </rPh>
    <rPh sb="17" eb="18">
      <t>ゴウ</t>
    </rPh>
    <rPh sb="19" eb="21">
      <t>ベッシ</t>
    </rPh>
    <rPh sb="24" eb="25">
      <t>モト</t>
    </rPh>
    <phoneticPr fontId="1"/>
  </si>
  <si>
    <t>ただし、「タクシー事業における軽自動車の活用について」</t>
    <rPh sb="9" eb="11">
      <t>ジギョウ</t>
    </rPh>
    <rPh sb="15" eb="19">
      <t>ケイジドウシャ</t>
    </rPh>
    <rPh sb="20" eb="22">
      <t>カツヨウ</t>
    </rPh>
    <phoneticPr fontId="1"/>
  </si>
  <si>
    <t>５．適用方法</t>
    <phoneticPr fontId="1"/>
  </si>
  <si>
    <t>距離制運賃の迎車回送料金を設定しますか。
（距離制運賃を設定しない場合は「設定しない」を選択）</t>
    <rPh sb="0" eb="2">
      <t>キョリ</t>
    </rPh>
    <rPh sb="2" eb="3">
      <t>セイ</t>
    </rPh>
    <rPh sb="3" eb="5">
      <t>ウンチン</t>
    </rPh>
    <rPh sb="6" eb="8">
      <t>ゲイシャ</t>
    </rPh>
    <rPh sb="8" eb="10">
      <t>カイソウ</t>
    </rPh>
    <rPh sb="10" eb="12">
      <t>リョウキン</t>
    </rPh>
    <rPh sb="13" eb="15">
      <t>セッテイ</t>
    </rPh>
    <rPh sb="37" eb="39">
      <t>セッテイ</t>
    </rPh>
    <rPh sb="44" eb="46">
      <t>センタク</t>
    </rPh>
    <phoneticPr fontId="1"/>
  </si>
  <si>
    <t>各種割引を設定しますか  ※身体障害者割引、知的障害者割引、深夜及び早朝割増は
基本設定となります。</t>
    <rPh sb="0" eb="2">
      <t>カクシュ</t>
    </rPh>
    <rPh sb="2" eb="4">
      <t>ワリビキ</t>
    </rPh>
    <rPh sb="5" eb="7">
      <t>セッテイ</t>
    </rPh>
    <phoneticPr fontId="1"/>
  </si>
  <si>
    <t>泉州交通圏</t>
    <rPh sb="0" eb="2">
      <t>センシュウ</t>
    </rPh>
    <rPh sb="2" eb="5">
      <t>コウツウケン</t>
    </rPh>
    <phoneticPr fontId="1"/>
  </si>
  <si>
    <t>担当者氏名</t>
    <rPh sb="0" eb="3">
      <t>タントウシャ</t>
    </rPh>
    <rPh sb="3" eb="5">
      <t>シメイ</t>
    </rPh>
    <phoneticPr fontId="1"/>
  </si>
  <si>
    <t>担当者メールアドレス</t>
    <rPh sb="0" eb="3">
      <t>タントウシャ</t>
    </rPh>
    <phoneticPr fontId="1"/>
  </si>
  <si>
    <t>担当者電話番号</t>
    <rPh sb="0" eb="3">
      <t>タントウシャ</t>
    </rPh>
    <rPh sb="3" eb="5">
      <t>デンワ</t>
    </rPh>
    <rPh sb="5" eb="7">
      <t>バンゴウ</t>
    </rPh>
    <phoneticPr fontId="1"/>
  </si>
  <si>
    <t>（ただし、上記のうち現に許可を受けている区域に限る。）</t>
    <rPh sb="5" eb="7">
      <t>ジョウキ</t>
    </rPh>
    <rPh sb="10" eb="11">
      <t>ゲン</t>
    </rPh>
    <rPh sb="12" eb="14">
      <t>キョカ</t>
    </rPh>
    <rPh sb="15" eb="16">
      <t>ウ</t>
    </rPh>
    <rPh sb="20" eb="22">
      <t>クイキ</t>
    </rPh>
    <rPh sb="23" eb="24">
      <t>カギ</t>
    </rPh>
    <phoneticPr fontId="1"/>
  </si>
  <si>
    <t>法人タクシー事業の運賃申請作成の手引き</t>
    <rPh sb="0" eb="2">
      <t>ホウジン</t>
    </rPh>
    <rPh sb="6" eb="8">
      <t>ジギョウ</t>
    </rPh>
    <rPh sb="9" eb="11">
      <t>ウンチン</t>
    </rPh>
    <rPh sb="11" eb="13">
      <t>シンセイ</t>
    </rPh>
    <rPh sb="13" eb="15">
      <t>サクセイ</t>
    </rPh>
    <rPh sb="16" eb="18">
      <t>テビ</t>
    </rPh>
    <phoneticPr fontId="1"/>
  </si>
  <si>
    <t>担当者連絡先</t>
    <rPh sb="0" eb="3">
      <t>タントウシャ</t>
    </rPh>
    <rPh sb="3" eb="6">
      <t>レンラクサキ</t>
    </rPh>
    <phoneticPr fontId="1"/>
  </si>
  <si>
    <t>担当者氏名</t>
    <rPh sb="0" eb="3">
      <t>タントウシャ</t>
    </rPh>
    <rPh sb="3" eb="5">
      <t>シメイ</t>
    </rPh>
    <phoneticPr fontId="8"/>
  </si>
  <si>
    <t>運賃の割引</t>
  </si>
  <si>
    <t>運　　賃</t>
  </si>
  <si>
    <t>法第16条の4第1項に基づき近畿運輸局長に届け出たもの。</t>
  </si>
  <si>
    <t>①を除く営業区域又は福祉輸送サービスを行う場合</t>
  </si>
  <si>
    <t>提出先運輸支局</t>
    <rPh sb="0" eb="3">
      <t>テイシュツサキ</t>
    </rPh>
    <phoneticPr fontId="1"/>
  </si>
  <si>
    <t>変更の申請の場合は、変更を必要とする理由
を記載してください（自由記述）→</t>
    <rPh sb="0" eb="2">
      <t>ヘンコウ</t>
    </rPh>
    <rPh sb="3" eb="5">
      <t>シンセイ</t>
    </rPh>
    <rPh sb="6" eb="8">
      <t>バアイ</t>
    </rPh>
    <rPh sb="10" eb="12">
      <t>ヘンコウ</t>
    </rPh>
    <rPh sb="13" eb="15">
      <t>ヒツヨウ</t>
    </rPh>
    <rPh sb="18" eb="20">
      <t>リユウ</t>
    </rPh>
    <rPh sb="22" eb="24">
      <t>キサイ</t>
    </rPh>
    <rPh sb="31" eb="33">
      <t>ジユウ</t>
    </rPh>
    <rPh sb="33" eb="35">
      <t>キジュツ</t>
    </rPh>
    <phoneticPr fontId="1"/>
  </si>
  <si>
    <t>(1)</t>
    <phoneticPr fontId="1"/>
  </si>
  <si>
    <t>(2)</t>
    <phoneticPr fontId="1"/>
  </si>
  <si>
    <t>(1)車　　両</t>
    <phoneticPr fontId="1"/>
  </si>
  <si>
    <t>(2)距離制運賃及び料金</t>
    <phoneticPr fontId="1"/>
  </si>
  <si>
    <t>名称</t>
    <phoneticPr fontId="8"/>
  </si>
  <si>
    <t>○</t>
  </si>
  <si>
    <r>
      <t>距離制運賃を設定しますか</t>
    </r>
    <r>
      <rPr>
        <u/>
        <sz val="12"/>
        <color rgb="FFFF0000"/>
        <rFont val="Meiryo UI"/>
        <family val="3"/>
        <charset val="128"/>
      </rPr>
      <t>（設定しない（時間制運賃のみ）を選択するには駅待ちや流し営業を行なうことがなく、観光需要や冠婚葬祭等の需要に対応する顧客との契約により行う場合のみに限ります）</t>
    </r>
    <rPh sb="0" eb="2">
      <t>キョリ</t>
    </rPh>
    <rPh sb="2" eb="3">
      <t>セイ</t>
    </rPh>
    <rPh sb="3" eb="5">
      <t>ウンチン</t>
    </rPh>
    <rPh sb="6" eb="8">
      <t>セッテイ</t>
    </rPh>
    <rPh sb="13" eb="15">
      <t>セッテイ</t>
    </rPh>
    <rPh sb="19" eb="22">
      <t>ジカンセイ</t>
    </rPh>
    <rPh sb="22" eb="24">
      <t>ウンチン</t>
    </rPh>
    <rPh sb="28" eb="30">
      <t>センタク</t>
    </rPh>
    <rPh sb="34" eb="35">
      <t>エキ</t>
    </rPh>
    <rPh sb="52" eb="54">
      <t>カンコウ</t>
    </rPh>
    <rPh sb="54" eb="56">
      <t>ジュヨウ</t>
    </rPh>
    <rPh sb="57" eb="61">
      <t>カンコンソウサイ</t>
    </rPh>
    <rPh sb="61" eb="62">
      <t>トウ</t>
    </rPh>
    <rPh sb="63" eb="65">
      <t>ジュヨウ</t>
    </rPh>
    <rPh sb="66" eb="68">
      <t>タイオウ</t>
    </rPh>
    <rPh sb="79" eb="80">
      <t>オコナ</t>
    </rPh>
    <rPh sb="81" eb="83">
      <t>バアイ</t>
    </rPh>
    <rPh sb="86" eb="87">
      <t>カギ</t>
    </rPh>
    <phoneticPr fontId="1"/>
  </si>
  <si>
    <t>４．時間制運賃②(2)に同じ。</t>
    <phoneticPr fontId="1"/>
  </si>
  <si>
    <t>(3)時間制運賃</t>
    <rPh sb="3" eb="6">
      <t>ジカンセイ</t>
    </rPh>
    <phoneticPr fontId="1"/>
  </si>
  <si>
    <t>時間制による運送契約は営業所のみにおいて行い、運転者と旅客との運送契約は認めない。</t>
    <rPh sb="0" eb="3">
      <t>ジカンセイ</t>
    </rPh>
    <phoneticPr fontId="1"/>
  </si>
  <si>
    <t>※令和8年9月更新様式</t>
    <phoneticPr fontId="1"/>
  </si>
  <si>
    <t>黄色セルは必ず入力してください</t>
  </si>
  <si>
    <r>
      <t>このファイルは、</t>
    </r>
    <r>
      <rPr>
        <u/>
        <sz val="10"/>
        <color rgb="FFFF0000"/>
        <rFont val="Meiryo UI"/>
        <family val="3"/>
        <charset val="128"/>
      </rPr>
      <t>泉州交通圏で事業を行う法人タクシー</t>
    </r>
    <r>
      <rPr>
        <sz val="10"/>
        <color theme="1"/>
        <rFont val="Meiryo UI"/>
        <family val="3"/>
        <charset val="128"/>
      </rPr>
      <t>における一般的な運賃申請をパソコンで作成する様式です。</t>
    </r>
    <rPh sb="8" eb="10">
      <t>センシュウ</t>
    </rPh>
    <rPh sb="10" eb="13">
      <t>コウツウケン</t>
    </rPh>
    <rPh sb="14" eb="16">
      <t>ジギョウ</t>
    </rPh>
    <rPh sb="17" eb="18">
      <t>オコナ</t>
    </rPh>
    <rPh sb="19" eb="21">
      <t>ホウジン</t>
    </rPh>
    <rPh sb="29" eb="32">
      <t>イッパンテキ</t>
    </rPh>
    <rPh sb="33" eb="35">
      <t>ウンチン</t>
    </rPh>
    <rPh sb="35" eb="37">
      <t>シンセイ</t>
    </rPh>
    <rPh sb="43" eb="45">
      <t>サクセイ</t>
    </rPh>
    <rPh sb="47" eb="49">
      <t>ヨウシキ</t>
    </rPh>
    <phoneticPr fontId="1"/>
  </si>
  <si>
    <t>（代理人が担当する場合は委任状の添付が必要となります）</t>
    <rPh sb="1" eb="4">
      <t>ダイリニン</t>
    </rPh>
    <rPh sb="5" eb="7">
      <t>タントウ</t>
    </rPh>
    <rPh sb="9" eb="11">
      <t>バアイ</t>
    </rPh>
    <rPh sb="12" eb="15">
      <t>イニンジョウ</t>
    </rPh>
    <rPh sb="16" eb="18">
      <t>テンプ</t>
    </rPh>
    <rPh sb="19" eb="21">
      <t>ヒツヨウ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</si>
</sst>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411]ggge&quot;年&quot;m&quot;月&quot;d&quot;日&quot;;@"/>
    <numFmt numFmtId="177" formatCode="\(General&quot;分&quot;\)"/>
    <numFmt numFmtId="178" formatCode="#,##0_ "/>
    <numFmt numFmtId="179" formatCode="0.0_ "/>
    <numFmt numFmtId="180" formatCode="[$-F800]dddd\,\ mmmm\ dd\,\ yyyy"/>
    <numFmt numFmtId="181" formatCode="0_);[Red]\(0\)"/>
    <numFmt numFmtId="182" formatCode="0_);\(0\)"/>
    <numFmt numFmtId="183" formatCode="[=1]&quot;①&quot;;General"/>
    <numFmt numFmtId="184" formatCode="[=2]&quot;②&quot;;General"/>
  </numFmts>
  <fonts count="38" x14ac:knownFonts="1">
    <font>
      <sz val="11"/>
      <color theme="1"/>
      <name val="ＭＳ Ｐゴシック"/>
      <family val="2"/>
      <scheme val="minor"/>
    </font>
    <font>
      <sz val="6"/>
      <name val="ＭＳ Ｐゴシック"/>
      <family val="3"/>
      <charset val="128"/>
      <scheme val="minor"/>
    </font>
    <font>
      <sz val="6"/>
      <name val="ＭＳ Ｐ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0.5"/>
      <color rgb="FF000000"/>
      <name val="ＭＳ 明朝"/>
      <family val="1"/>
      <charset val="128"/>
    </font>
    <font>
      <sz val="11"/>
      <color theme="1"/>
      <name val="ＭＳ 明朝"/>
      <family val="1"/>
      <charset val="128"/>
    </font>
    <font>
      <sz val="6"/>
      <name val="ＭＳ Ｐ明朝"/>
      <family val="1"/>
      <charset val="128"/>
    </font>
    <font>
      <b/>
      <sz val="12"/>
      <name val="ＭＳ Ｐゴシック"/>
      <family val="3"/>
      <charset val="128"/>
    </font>
    <font>
      <u/>
      <sz val="11"/>
      <color theme="10"/>
      <name val="ＭＳ Ｐゴシック"/>
      <family val="2"/>
      <scheme val="minor"/>
    </font>
    <font>
      <u/>
      <sz val="11"/>
      <color theme="1"/>
      <name val="ＭＳ 明朝"/>
      <family val="1"/>
      <charset val="128"/>
    </font>
    <font>
      <u/>
      <sz val="11"/>
      <name val="ＭＳ Ｐゴシック"/>
      <family val="3"/>
      <charset val="128"/>
    </font>
    <font>
      <sz val="10"/>
      <color theme="1"/>
      <name val="ＭＳ 明朝"/>
      <family val="1"/>
      <charset val="128"/>
    </font>
    <font>
      <sz val="10"/>
      <color rgb="FF000000"/>
      <name val="ＭＳ 明朝"/>
      <family val="1"/>
      <charset val="128"/>
    </font>
    <font>
      <sz val="11"/>
      <color theme="1"/>
      <name val="Meiryo UI"/>
      <family val="3"/>
      <charset val="128"/>
    </font>
    <font>
      <sz val="11"/>
      <name val="Meiryo UI"/>
      <family val="3"/>
      <charset val="128"/>
    </font>
    <font>
      <sz val="11"/>
      <color rgb="FFFF0000"/>
      <name val="Meiryo UI"/>
      <family val="3"/>
      <charset val="128"/>
    </font>
    <font>
      <sz val="10"/>
      <color theme="1"/>
      <name val="Meiryo UI"/>
      <family val="3"/>
      <charset val="128"/>
    </font>
    <font>
      <sz val="22"/>
      <color rgb="FFFF0000"/>
      <name val="Meiryo UI"/>
      <family val="3"/>
      <charset val="128"/>
    </font>
    <font>
      <sz val="11"/>
      <color theme="0"/>
      <name val="ＭＳ Ｐゴシック"/>
      <family val="3"/>
      <charset val="128"/>
    </font>
    <font>
      <sz val="10"/>
      <color rgb="FFFF0000"/>
      <name val="Meiryo UI"/>
      <family val="3"/>
      <charset val="128"/>
    </font>
    <font>
      <b/>
      <sz val="11"/>
      <color rgb="FFFF0000"/>
      <name val="Meiryo UI"/>
      <family val="3"/>
      <charset val="128"/>
    </font>
    <font>
      <b/>
      <sz val="11"/>
      <color rgb="FFFF0000"/>
      <name val="ＭＳ Ｐゴシック"/>
      <family val="3"/>
      <charset val="128"/>
    </font>
    <font>
      <sz val="11"/>
      <color theme="0"/>
      <name val="Meiryo UI"/>
      <family val="3"/>
      <charset val="128"/>
    </font>
    <font>
      <sz val="8"/>
      <name val="ＭＳ Ｐゴシック"/>
      <family val="3"/>
      <charset val="128"/>
    </font>
    <font>
      <sz val="9"/>
      <color theme="1"/>
      <name val="Meiryo UI"/>
      <family val="3"/>
      <charset val="128"/>
    </font>
    <font>
      <u/>
      <sz val="12"/>
      <color rgb="FFFF0000"/>
      <name val="Meiryo UI"/>
      <family val="3"/>
      <charset val="128"/>
    </font>
    <font>
      <sz val="10.5"/>
      <color theme="1"/>
      <name val="ＭＳ 明朝"/>
      <family val="1"/>
      <charset val="128"/>
    </font>
    <font>
      <b/>
      <u/>
      <sz val="11"/>
      <color rgb="FFFF0000"/>
      <name val="Meiryo UI"/>
      <family val="3"/>
      <charset val="128"/>
    </font>
    <font>
      <u/>
      <sz val="10.5"/>
      <color rgb="FF000000"/>
      <name val="ＭＳ 明朝"/>
      <family val="1"/>
      <charset val="128"/>
    </font>
    <font>
      <sz val="10.5"/>
      <name val="ＭＳ 明朝"/>
      <family val="1"/>
      <charset val="128"/>
    </font>
    <font>
      <u/>
      <sz val="10.5"/>
      <name val="ＭＳ 明朝"/>
      <family val="1"/>
      <charset val="128"/>
    </font>
    <font>
      <sz val="10.5"/>
      <color theme="1" tint="4.9989318521683403E-2"/>
      <name val="ＭＳ 明朝"/>
      <family val="1"/>
      <charset val="128"/>
    </font>
    <font>
      <u/>
      <sz val="10.5"/>
      <color theme="1"/>
      <name val="ＭＳ 明朝"/>
      <family val="1"/>
      <charset val="128"/>
    </font>
    <font>
      <sz val="10.5"/>
      <color theme="0"/>
      <name val="ＭＳ 明朝"/>
      <family val="1"/>
      <charset val="128"/>
    </font>
    <font>
      <u/>
      <sz val="10"/>
      <color rgb="FFFF0000"/>
      <name val="Meiryo UI"/>
      <family val="3"/>
      <charset val="128"/>
    </font>
    <font>
      <sz val="11"/>
      <color theme="1"/>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00B0F0"/>
        <bgColor indexed="64"/>
      </patternFill>
    </fill>
  </fills>
  <borders count="82">
    <border>
      <left/>
      <right/>
      <top/>
      <bottom/>
      <diagonal/>
    </border>
    <border>
      <left/>
      <right style="thin">
        <color indexed="64"/>
      </right>
      <top/>
      <bottom/>
      <diagonal/>
    </border>
    <border>
      <left style="medium">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double">
        <color indexed="64"/>
      </top>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right/>
      <top/>
      <bottom style="dotted">
        <color auto="1"/>
      </bottom>
      <diagonal/>
    </border>
    <border>
      <left/>
      <right style="dotted">
        <color auto="1"/>
      </right>
      <top/>
      <bottom style="dotted">
        <color auto="1"/>
      </bottom>
      <diagonal/>
    </border>
    <border>
      <left style="thin">
        <color indexed="64"/>
      </left>
      <right style="thin">
        <color indexed="64"/>
      </right>
      <top style="thin">
        <color indexed="64"/>
      </top>
      <bottom style="thin">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auto="1"/>
      </left>
      <right style="medium">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double">
        <color indexed="64"/>
      </right>
      <top/>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3" fillId="0" borderId="0"/>
    <xf numFmtId="38" fontId="3" fillId="0" borderId="0" applyFont="0" applyFill="0" applyBorder="0" applyAlignment="0" applyProtection="0"/>
    <xf numFmtId="0" fontId="3" fillId="0" borderId="0">
      <alignment vertical="center"/>
    </xf>
    <xf numFmtId="0" fontId="10" fillId="0" borderId="0" applyNumberFormat="0" applyFill="0" applyBorder="0" applyAlignment="0" applyProtection="0"/>
  </cellStyleXfs>
  <cellXfs count="286">
    <xf numFmtId="0" fontId="0" fillId="0" borderId="0" xfId="0"/>
    <xf numFmtId="0" fontId="3" fillId="0" borderId="0" xfId="1"/>
    <xf numFmtId="0" fontId="3" fillId="0" borderId="0" xfId="1" applyAlignment="1">
      <alignment horizontal="center"/>
    </xf>
    <xf numFmtId="0" fontId="4" fillId="0" borderId="7" xfId="1" applyFont="1" applyBorder="1" applyAlignment="1">
      <alignment horizontal="center"/>
    </xf>
    <xf numFmtId="0" fontId="3" fillId="0" borderId="0" xfId="1" applyAlignment="1">
      <alignment horizontal="center" vertical="top" wrapText="1"/>
    </xf>
    <xf numFmtId="0" fontId="3" fillId="0" borderId="0" xfId="1" applyAlignment="1">
      <alignment horizontal="center" wrapText="1"/>
    </xf>
    <xf numFmtId="0" fontId="3" fillId="0" borderId="16" xfId="1" applyBorder="1" applyAlignment="1">
      <alignment horizontal="center"/>
    </xf>
    <xf numFmtId="0" fontId="3" fillId="0" borderId="17" xfId="1" applyBorder="1"/>
    <xf numFmtId="0" fontId="3" fillId="0" borderId="18" xfId="1" applyBorder="1"/>
    <xf numFmtId="0" fontId="3" fillId="0" borderId="19" xfId="1" applyBorder="1"/>
    <xf numFmtId="0" fontId="3" fillId="0" borderId="20" xfId="1" applyBorder="1"/>
    <xf numFmtId="0" fontId="3" fillId="0" borderId="21" xfId="1" applyBorder="1"/>
    <xf numFmtId="0" fontId="3" fillId="0" borderId="22" xfId="1" applyBorder="1"/>
    <xf numFmtId="1" fontId="3" fillId="0" borderId="22" xfId="1" applyNumberFormat="1" applyBorder="1"/>
    <xf numFmtId="0" fontId="3" fillId="0" borderId="22" xfId="1" applyBorder="1" applyAlignment="1">
      <alignment horizontal="left"/>
    </xf>
    <xf numFmtId="0" fontId="3" fillId="0" borderId="23" xfId="1" applyBorder="1"/>
    <xf numFmtId="38" fontId="3" fillId="0" borderId="19" xfId="2" applyFill="1" applyBorder="1" applyAlignment="1">
      <alignment horizontal="right"/>
    </xf>
    <xf numFmtId="0" fontId="3" fillId="0" borderId="24" xfId="1" applyBorder="1" applyAlignment="1">
      <alignment horizontal="center"/>
    </xf>
    <xf numFmtId="0" fontId="3" fillId="0" borderId="25" xfId="1" applyBorder="1"/>
    <xf numFmtId="0" fontId="3" fillId="0" borderId="26" xfId="1" applyBorder="1"/>
    <xf numFmtId="38" fontId="3" fillId="0" borderId="27" xfId="2" applyFont="1" applyFill="1" applyBorder="1" applyAlignment="1">
      <alignment horizontal="right"/>
    </xf>
    <xf numFmtId="0" fontId="3" fillId="0" borderId="28" xfId="1" applyBorder="1"/>
    <xf numFmtId="0" fontId="3" fillId="0" borderId="29" xfId="1" applyBorder="1"/>
    <xf numFmtId="0" fontId="3" fillId="0" borderId="30" xfId="1" applyBorder="1"/>
    <xf numFmtId="38" fontId="3" fillId="0" borderId="31" xfId="2" applyFont="1" applyFill="1" applyBorder="1" applyAlignment="1">
      <alignment horizontal="right"/>
    </xf>
    <xf numFmtId="0" fontId="3" fillId="0" borderId="32" xfId="1" applyBorder="1"/>
    <xf numFmtId="1" fontId="3" fillId="0" borderId="0" xfId="1" applyNumberFormat="1"/>
    <xf numFmtId="0" fontId="3" fillId="0" borderId="0" xfId="1" applyAlignment="1">
      <alignment horizontal="left"/>
    </xf>
    <xf numFmtId="0" fontId="3" fillId="0" borderId="33" xfId="1" applyBorder="1"/>
    <xf numFmtId="0" fontId="3" fillId="0" borderId="27" xfId="1" applyBorder="1"/>
    <xf numFmtId="1" fontId="3" fillId="0" borderId="25" xfId="1" applyNumberFormat="1" applyBorder="1"/>
    <xf numFmtId="0" fontId="3" fillId="0" borderId="25" xfId="1" applyBorder="1" applyAlignment="1">
      <alignment horizontal="left"/>
    </xf>
    <xf numFmtId="0" fontId="3" fillId="0" borderId="34" xfId="1" applyBorder="1" applyAlignment="1">
      <alignment horizontal="center"/>
    </xf>
    <xf numFmtId="0" fontId="3" fillId="0" borderId="35" xfId="1" applyBorder="1"/>
    <xf numFmtId="0" fontId="3" fillId="0" borderId="36" xfId="1" applyBorder="1"/>
    <xf numFmtId="0" fontId="3" fillId="0" borderId="37" xfId="1" applyBorder="1"/>
    <xf numFmtId="0" fontId="3" fillId="0" borderId="37" xfId="1" applyBorder="1" applyAlignment="1">
      <alignment horizontal="left"/>
    </xf>
    <xf numFmtId="0" fontId="3" fillId="0" borderId="38" xfId="1" applyBorder="1"/>
    <xf numFmtId="0" fontId="3" fillId="0" borderId="41" xfId="1" applyBorder="1"/>
    <xf numFmtId="38" fontId="3" fillId="0" borderId="40" xfId="2" applyFont="1" applyFill="1" applyBorder="1" applyAlignment="1">
      <alignment horizontal="right"/>
    </xf>
    <xf numFmtId="0" fontId="3" fillId="0" borderId="44" xfId="1" applyBorder="1" applyAlignment="1">
      <alignment horizontal="center"/>
    </xf>
    <xf numFmtId="0" fontId="3" fillId="0" borderId="0" xfId="1" applyAlignment="1">
      <alignment horizontal="center" vertical="center"/>
    </xf>
    <xf numFmtId="0" fontId="4" fillId="0" borderId="7" xfId="1" applyFont="1" applyBorder="1" applyAlignment="1">
      <alignment horizontal="center" vertical="center"/>
    </xf>
    <xf numFmtId="0" fontId="3" fillId="0" borderId="0" xfId="3" applyAlignment="1"/>
    <xf numFmtId="0" fontId="3" fillId="0" borderId="0" xfId="3">
      <alignment vertical="center"/>
    </xf>
    <xf numFmtId="0" fontId="5" fillId="0" borderId="0" xfId="3" applyFont="1" applyAlignment="1"/>
    <xf numFmtId="0" fontId="9" fillId="0" borderId="0" xfId="3" applyFont="1" applyAlignment="1">
      <alignment horizontal="center"/>
    </xf>
    <xf numFmtId="0" fontId="4" fillId="0" borderId="0" xfId="3" applyFont="1" applyAlignment="1"/>
    <xf numFmtId="0" fontId="3" fillId="0" borderId="0" xfId="3" applyAlignment="1">
      <alignment horizontal="center"/>
    </xf>
    <xf numFmtId="0" fontId="3" fillId="0" borderId="0" xfId="3" applyAlignment="1">
      <alignment horizontal="distributed"/>
    </xf>
    <xf numFmtId="0" fontId="12" fillId="0" borderId="0" xfId="3" applyFont="1" applyAlignment="1"/>
    <xf numFmtId="0" fontId="15" fillId="0" borderId="0" xfId="0" applyFont="1"/>
    <xf numFmtId="0" fontId="3" fillId="0" borderId="0" xfId="3" applyAlignment="1">
      <alignment horizontal="left"/>
    </xf>
    <xf numFmtId="0" fontId="6" fillId="0" borderId="0" xfId="0" applyFont="1" applyAlignment="1">
      <alignment vertical="center"/>
    </xf>
    <xf numFmtId="0" fontId="7" fillId="0" borderId="0" xfId="0" applyFont="1"/>
    <xf numFmtId="0" fontId="6" fillId="0" borderId="0" xfId="0" applyFont="1" applyAlignment="1">
      <alignment horizontal="left" vertical="center" indent="2"/>
    </xf>
    <xf numFmtId="0" fontId="14" fillId="0" borderId="0" xfId="0" applyFont="1" applyAlignment="1">
      <alignment vertical="center"/>
    </xf>
    <xf numFmtId="0" fontId="13" fillId="0" borderId="0" xfId="0" applyFont="1" applyAlignment="1">
      <alignment vertical="center"/>
    </xf>
    <xf numFmtId="0" fontId="13" fillId="0" borderId="0" xfId="0" applyFont="1" applyAlignment="1">
      <alignment vertical="center" shrinkToFit="1"/>
    </xf>
    <xf numFmtId="0" fontId="16" fillId="2" borderId="37" xfId="1" applyFont="1" applyFill="1" applyBorder="1" applyAlignment="1" applyProtection="1">
      <alignment horizontal="center" vertical="center"/>
      <protection locked="0"/>
    </xf>
    <xf numFmtId="0" fontId="16" fillId="2" borderId="0" xfId="1" applyFont="1" applyFill="1" applyAlignment="1" applyProtection="1">
      <alignment horizontal="center" vertical="center"/>
      <protection locked="0"/>
    </xf>
    <xf numFmtId="0" fontId="15" fillId="0" borderId="0" xfId="0" applyFont="1" applyProtection="1">
      <protection locked="0"/>
    </xf>
    <xf numFmtId="0" fontId="16" fillId="0" borderId="0" xfId="1" applyFont="1" applyAlignment="1" applyProtection="1">
      <alignment horizontal="center" vertical="center"/>
      <protection locked="0"/>
    </xf>
    <xf numFmtId="0" fontId="16" fillId="0" borderId="0" xfId="0" applyFont="1"/>
    <xf numFmtId="0" fontId="16" fillId="0" borderId="0" xfId="0" applyFont="1" applyProtection="1">
      <protection locked="0"/>
    </xf>
    <xf numFmtId="0" fontId="10" fillId="0" borderId="0" xfId="4"/>
    <xf numFmtId="0" fontId="15" fillId="0" borderId="0" xfId="0" applyFont="1" applyAlignment="1" applyProtection="1">
      <alignment horizontal="center"/>
      <protection locked="0"/>
    </xf>
    <xf numFmtId="0" fontId="25" fillId="0" borderId="0" xfId="3" applyFont="1">
      <alignment vertical="center"/>
    </xf>
    <xf numFmtId="0" fontId="15" fillId="3" borderId="47" xfId="0" applyFont="1" applyFill="1" applyBorder="1" applyProtection="1">
      <protection locked="0"/>
    </xf>
    <xf numFmtId="0" fontId="15" fillId="3" borderId="48" xfId="0" applyFont="1" applyFill="1" applyBorder="1" applyProtection="1">
      <protection locked="0"/>
    </xf>
    <xf numFmtId="0" fontId="15" fillId="3" borderId="49" xfId="0" applyFont="1" applyFill="1" applyBorder="1" applyProtection="1">
      <protection locked="0"/>
    </xf>
    <xf numFmtId="0" fontId="18" fillId="0" borderId="46" xfId="0" applyFont="1" applyBorder="1" applyProtection="1">
      <protection locked="0"/>
    </xf>
    <xf numFmtId="0" fontId="15" fillId="0" borderId="3" xfId="0" applyFont="1" applyBorder="1" applyProtection="1">
      <protection locked="0"/>
    </xf>
    <xf numFmtId="0" fontId="15" fillId="0" borderId="6" xfId="0" applyFont="1" applyBorder="1" applyProtection="1">
      <protection locked="0"/>
    </xf>
    <xf numFmtId="0" fontId="18" fillId="0" borderId="54" xfId="0" applyFont="1" applyBorder="1" applyProtection="1">
      <protection locked="0"/>
    </xf>
    <xf numFmtId="0" fontId="15" fillId="0" borderId="45" xfId="0" applyFont="1" applyBorder="1" applyProtection="1">
      <protection locked="0"/>
    </xf>
    <xf numFmtId="0" fontId="18" fillId="0" borderId="53" xfId="0" applyFont="1" applyBorder="1" applyProtection="1">
      <protection locked="0"/>
    </xf>
    <xf numFmtId="0" fontId="15" fillId="0" borderId="37" xfId="0" applyFont="1" applyBorder="1" applyProtection="1">
      <protection locked="0"/>
    </xf>
    <xf numFmtId="0" fontId="17" fillId="0" borderId="37" xfId="0" applyFont="1" applyBorder="1" applyProtection="1">
      <protection locked="0"/>
    </xf>
    <xf numFmtId="0" fontId="15" fillId="0" borderId="38" xfId="0" applyFont="1" applyBorder="1" applyProtection="1">
      <protection locked="0"/>
    </xf>
    <xf numFmtId="0" fontId="17" fillId="0" borderId="0" xfId="0" applyFont="1" applyProtection="1">
      <protection locked="0"/>
    </xf>
    <xf numFmtId="0" fontId="17" fillId="3" borderId="48" xfId="0" applyFont="1" applyFill="1" applyBorder="1" applyProtection="1">
      <protection locked="0"/>
    </xf>
    <xf numFmtId="0" fontId="15" fillId="0" borderId="54" xfId="0" applyFont="1" applyBorder="1" applyProtection="1">
      <protection locked="0"/>
    </xf>
    <xf numFmtId="0" fontId="18" fillId="0" borderId="0" xfId="0" applyFont="1" applyProtection="1">
      <protection locked="0"/>
    </xf>
    <xf numFmtId="0" fontId="15" fillId="0" borderId="53" xfId="0" applyFont="1" applyBorder="1" applyProtection="1">
      <protection locked="0"/>
    </xf>
    <xf numFmtId="0" fontId="15" fillId="0" borderId="37" xfId="0" applyFont="1" applyBorder="1" applyAlignment="1" applyProtection="1">
      <alignment horizontal="right"/>
      <protection locked="0"/>
    </xf>
    <xf numFmtId="0" fontId="10" fillId="0" borderId="37" xfId="4" applyBorder="1" applyAlignment="1" applyProtection="1">
      <alignment horizontal="center"/>
      <protection locked="0"/>
    </xf>
    <xf numFmtId="0" fontId="15" fillId="0" borderId="0" xfId="0" applyFont="1" applyAlignment="1" applyProtection="1">
      <alignment horizontal="right"/>
      <protection locked="0"/>
    </xf>
    <xf numFmtId="0" fontId="15" fillId="0" borderId="48" xfId="0" applyFont="1" applyBorder="1" applyProtection="1">
      <protection locked="0"/>
    </xf>
    <xf numFmtId="0" fontId="15" fillId="0" borderId="49" xfId="0" applyFont="1" applyBorder="1" applyProtection="1">
      <protection locked="0"/>
    </xf>
    <xf numFmtId="0" fontId="16" fillId="0" borderId="0" xfId="0" applyFont="1" applyAlignment="1" applyProtection="1">
      <alignment horizontal="left"/>
      <protection locked="0"/>
    </xf>
    <xf numFmtId="0" fontId="15" fillId="0" borderId="47" xfId="0" applyFont="1" applyBorder="1" applyAlignment="1" applyProtection="1">
      <alignment horizontal="center" vertical="center"/>
      <protection locked="0"/>
    </xf>
    <xf numFmtId="0" fontId="19" fillId="0" borderId="47" xfId="0" applyFont="1" applyBorder="1" applyProtection="1">
      <protection locked="0"/>
    </xf>
    <xf numFmtId="0" fontId="15" fillId="0" borderId="46" xfId="0" applyFont="1" applyBorder="1" applyProtection="1">
      <protection locked="0"/>
    </xf>
    <xf numFmtId="0" fontId="10" fillId="0" borderId="3" xfId="4" applyBorder="1" applyProtection="1">
      <protection locked="0"/>
    </xf>
    <xf numFmtId="0" fontId="10" fillId="0" borderId="37" xfId="4" applyBorder="1" applyProtection="1">
      <protection locked="0"/>
    </xf>
    <xf numFmtId="0" fontId="15" fillId="4" borderId="47" xfId="0" applyFont="1" applyFill="1" applyBorder="1" applyProtection="1">
      <protection locked="0"/>
    </xf>
    <xf numFmtId="0" fontId="15" fillId="4" borderId="48" xfId="0" applyFont="1" applyFill="1" applyBorder="1" applyProtection="1">
      <protection locked="0"/>
    </xf>
    <xf numFmtId="0" fontId="15" fillId="4" borderId="49" xfId="0" applyFont="1" applyFill="1" applyBorder="1" applyProtection="1">
      <protection locked="0"/>
    </xf>
    <xf numFmtId="0" fontId="3" fillId="2" borderId="0" xfId="1" applyFill="1" applyAlignment="1" applyProtection="1">
      <alignment horizontal="center" vertical="center"/>
      <protection locked="0"/>
    </xf>
    <xf numFmtId="0" fontId="18" fillId="0" borderId="0" xfId="0" applyFont="1" applyAlignment="1" applyProtection="1">
      <alignment shrinkToFit="1"/>
      <protection locked="0"/>
    </xf>
    <xf numFmtId="0" fontId="26" fillId="0" borderId="0" xfId="0" applyFont="1"/>
    <xf numFmtId="0" fontId="16" fillId="0" borderId="0" xfId="4" applyFont="1" applyBorder="1" applyProtection="1">
      <protection locked="0"/>
    </xf>
    <xf numFmtId="0" fontId="17" fillId="0" borderId="0" xfId="4" applyFont="1" applyBorder="1" applyAlignment="1" applyProtection="1">
      <alignment horizontal="left"/>
      <protection locked="0"/>
    </xf>
    <xf numFmtId="0" fontId="15" fillId="0" borderId="0" xfId="0" applyFont="1" applyAlignment="1">
      <alignment horizontal="right"/>
    </xf>
    <xf numFmtId="0" fontId="3" fillId="0" borderId="39" xfId="1" applyBorder="1"/>
    <xf numFmtId="0" fontId="3" fillId="0" borderId="40" xfId="1" applyBorder="1"/>
    <xf numFmtId="1" fontId="3" fillId="0" borderId="35" xfId="1" applyNumberFormat="1" applyBorder="1"/>
    <xf numFmtId="0" fontId="3" fillId="0" borderId="35" xfId="1" applyBorder="1" applyAlignment="1">
      <alignment horizontal="left"/>
    </xf>
    <xf numFmtId="0" fontId="23" fillId="0" borderId="0" xfId="1" applyFont="1" applyAlignment="1">
      <alignment horizontal="center"/>
    </xf>
    <xf numFmtId="0" fontId="22" fillId="0" borderId="0" xfId="0" applyFont="1"/>
    <xf numFmtId="0" fontId="7" fillId="0" borderId="55" xfId="0" applyFont="1" applyBorder="1"/>
    <xf numFmtId="0" fontId="7" fillId="0" borderId="56" xfId="0" applyFont="1" applyBorder="1"/>
    <xf numFmtId="0" fontId="7" fillId="0" borderId="57" xfId="0" applyFont="1" applyBorder="1"/>
    <xf numFmtId="0" fontId="7" fillId="0" borderId="0" xfId="0" applyFont="1" applyAlignment="1">
      <alignment horizontal="left"/>
    </xf>
    <xf numFmtId="0" fontId="7" fillId="0" borderId="58" xfId="0" applyFont="1" applyBorder="1"/>
    <xf numFmtId="179" fontId="7" fillId="0" borderId="0" xfId="0" applyNumberFormat="1" applyFont="1" applyAlignment="1">
      <alignment horizontal="left"/>
    </xf>
    <xf numFmtId="0" fontId="7" fillId="0" borderId="59" xfId="0" applyFont="1" applyBorder="1"/>
    <xf numFmtId="0" fontId="7" fillId="0" borderId="60" xfId="0" applyFont="1" applyBorder="1"/>
    <xf numFmtId="0" fontId="15" fillId="0" borderId="32" xfId="0" applyFont="1" applyBorder="1"/>
    <xf numFmtId="0" fontId="15" fillId="0" borderId="1" xfId="0" applyFont="1" applyBorder="1"/>
    <xf numFmtId="0" fontId="7" fillId="2" borderId="32" xfId="0" applyFont="1" applyFill="1" applyBorder="1"/>
    <xf numFmtId="0" fontId="3" fillId="0" borderId="1" xfId="1" applyBorder="1" applyAlignment="1">
      <alignment horizontal="center"/>
    </xf>
    <xf numFmtId="0" fontId="22" fillId="0" borderId="1" xfId="0" applyFont="1" applyBorder="1" applyAlignment="1">
      <alignment horizontal="center"/>
    </xf>
    <xf numFmtId="0" fontId="22" fillId="0" borderId="1" xfId="0" applyFont="1" applyBorder="1"/>
    <xf numFmtId="0" fontId="15" fillId="4" borderId="0" xfId="0" applyFont="1" applyFill="1" applyProtection="1">
      <protection locked="0"/>
    </xf>
    <xf numFmtId="0" fontId="15" fillId="0" borderId="0" xfId="0" applyFont="1" applyAlignment="1">
      <alignment horizontal="center"/>
    </xf>
    <xf numFmtId="0" fontId="11" fillId="0" borderId="0" xfId="0" applyFont="1"/>
    <xf numFmtId="0" fontId="15" fillId="0" borderId="32" xfId="0" applyFont="1" applyBorder="1" applyAlignment="1">
      <alignment horizontal="center"/>
    </xf>
    <xf numFmtId="0" fontId="15" fillId="0" borderId="62" xfId="0" applyFont="1" applyBorder="1"/>
    <xf numFmtId="0" fontId="15" fillId="0" borderId="63" xfId="0" applyFont="1" applyBorder="1"/>
    <xf numFmtId="0" fontId="15" fillId="0" borderId="62" xfId="0" applyFont="1" applyBorder="1" applyAlignment="1">
      <alignment horizontal="center"/>
    </xf>
    <xf numFmtId="0" fontId="22" fillId="0" borderId="62" xfId="0" applyFont="1" applyBorder="1"/>
    <xf numFmtId="0" fontId="15" fillId="0" borderId="64" xfId="0" applyFont="1" applyBorder="1"/>
    <xf numFmtId="0" fontId="15" fillId="0" borderId="13" xfId="0" applyFont="1" applyBorder="1"/>
    <xf numFmtId="0" fontId="15" fillId="0" borderId="65" xfId="0" applyFont="1" applyBorder="1"/>
    <xf numFmtId="0" fontId="15" fillId="0" borderId="66" xfId="0" applyFont="1" applyBorder="1"/>
    <xf numFmtId="0" fontId="15" fillId="0" borderId="67" xfId="0" applyFont="1" applyBorder="1"/>
    <xf numFmtId="0" fontId="15" fillId="0" borderId="68" xfId="0" applyFont="1" applyBorder="1"/>
    <xf numFmtId="0" fontId="15" fillId="0" borderId="27" xfId="0" applyFont="1" applyBorder="1"/>
    <xf numFmtId="0" fontId="15" fillId="0" borderId="25" xfId="0" applyFont="1" applyBorder="1"/>
    <xf numFmtId="0" fontId="15" fillId="0" borderId="26" xfId="0" applyFont="1" applyBorder="1"/>
    <xf numFmtId="0" fontId="7" fillId="2" borderId="61" xfId="0" applyFont="1" applyFill="1" applyBorder="1"/>
    <xf numFmtId="0" fontId="3" fillId="2" borderId="32" xfId="1" applyFill="1" applyBorder="1" applyAlignment="1" applyProtection="1">
      <alignment horizontal="center" vertical="center"/>
      <protection locked="0"/>
    </xf>
    <xf numFmtId="0" fontId="4" fillId="0" borderId="69" xfId="1" applyFont="1" applyBorder="1" applyAlignment="1">
      <alignment horizontal="center" vertical="center"/>
    </xf>
    <xf numFmtId="0" fontId="3" fillId="0" borderId="32" xfId="1" applyBorder="1" applyAlignment="1">
      <alignment horizontal="center" vertical="center"/>
    </xf>
    <xf numFmtId="0" fontId="3" fillId="0" borderId="32" xfId="1" applyBorder="1" applyAlignment="1">
      <alignment horizontal="left"/>
    </xf>
    <xf numFmtId="0" fontId="22" fillId="0" borderId="0" xfId="0" applyFont="1" applyAlignment="1">
      <alignment horizontal="center"/>
    </xf>
    <xf numFmtId="0" fontId="3" fillId="0" borderId="0" xfId="3" applyAlignment="1">
      <alignment horizontal="left" shrinkToFit="1"/>
    </xf>
    <xf numFmtId="0" fontId="4" fillId="0" borderId="0" xfId="3" applyFont="1">
      <alignment vertical="center"/>
    </xf>
    <xf numFmtId="0" fontId="28" fillId="0" borderId="0" xfId="0" applyFont="1"/>
    <xf numFmtId="0" fontId="15" fillId="0" borderId="47" xfId="0" applyFont="1" applyBorder="1" applyProtection="1">
      <protection locked="0"/>
    </xf>
    <xf numFmtId="0" fontId="15" fillId="0" borderId="48" xfId="0" applyFont="1" applyBorder="1" applyAlignment="1" applyProtection="1">
      <alignment shrinkToFit="1"/>
      <protection locked="0"/>
    </xf>
    <xf numFmtId="0" fontId="15" fillId="0" borderId="52" xfId="0" applyFont="1" applyBorder="1" applyAlignment="1" applyProtection="1">
      <alignment horizontal="center"/>
      <protection locked="0"/>
    </xf>
    <xf numFmtId="0" fontId="16" fillId="2" borderId="42" xfId="1" applyFont="1" applyFill="1" applyBorder="1" applyAlignment="1" applyProtection="1">
      <alignment horizontal="center" vertical="center"/>
      <protection locked="0"/>
    </xf>
    <xf numFmtId="0" fontId="15" fillId="0" borderId="42" xfId="0" applyFont="1" applyBorder="1" applyProtection="1">
      <protection locked="0"/>
    </xf>
    <xf numFmtId="0" fontId="15" fillId="0" borderId="43" xfId="0" applyFont="1" applyBorder="1" applyProtection="1">
      <protection locked="0"/>
    </xf>
    <xf numFmtId="0" fontId="15" fillId="0" borderId="22" xfId="0" applyFont="1" applyBorder="1" applyProtection="1">
      <protection locked="0"/>
    </xf>
    <xf numFmtId="0" fontId="16" fillId="0" borderId="22" xfId="0" applyFont="1" applyBorder="1" applyAlignment="1" applyProtection="1">
      <alignment horizontal="left"/>
      <protection locked="0"/>
    </xf>
    <xf numFmtId="0" fontId="24" fillId="0" borderId="22" xfId="0" applyFont="1" applyBorder="1" applyProtection="1">
      <protection locked="0"/>
    </xf>
    <xf numFmtId="0" fontId="17" fillId="0" borderId="22" xfId="0" applyFont="1" applyBorder="1" applyProtection="1">
      <protection locked="0"/>
    </xf>
    <xf numFmtId="0" fontId="15" fillId="0" borderId="74" xfId="0" applyFont="1" applyBorder="1" applyProtection="1">
      <protection locked="0"/>
    </xf>
    <xf numFmtId="0" fontId="15" fillId="0" borderId="28" xfId="0" applyFont="1" applyBorder="1" applyProtection="1">
      <protection locked="0"/>
    </xf>
    <xf numFmtId="0" fontId="17" fillId="0" borderId="71" xfId="0" applyFont="1" applyBorder="1" applyAlignment="1" applyProtection="1">
      <alignment wrapText="1"/>
      <protection locked="0"/>
    </xf>
    <xf numFmtId="0" fontId="15" fillId="0" borderId="34" xfId="0" applyFont="1" applyBorder="1" applyAlignment="1" applyProtection="1">
      <alignment horizontal="center"/>
      <protection locked="0"/>
    </xf>
    <xf numFmtId="0" fontId="15" fillId="0" borderId="72" xfId="0" applyFont="1" applyBorder="1" applyAlignment="1" applyProtection="1">
      <alignment horizontal="center"/>
      <protection locked="0"/>
    </xf>
    <xf numFmtId="0" fontId="15" fillId="0" borderId="73" xfId="0" applyFont="1" applyBorder="1" applyAlignment="1" applyProtection="1">
      <alignment horizontal="center"/>
      <protection locked="0"/>
    </xf>
    <xf numFmtId="38" fontId="3" fillId="0" borderId="0" xfId="2" applyFill="1" applyBorder="1" applyAlignment="1">
      <alignment horizontal="right"/>
    </xf>
    <xf numFmtId="38" fontId="3" fillId="0" borderId="0" xfId="2" applyFont="1" applyFill="1" applyBorder="1" applyAlignment="1">
      <alignment horizontal="right"/>
    </xf>
    <xf numFmtId="0" fontId="30" fillId="0" borderId="0" xfId="0" applyFont="1" applyAlignment="1">
      <alignment vertical="center"/>
    </xf>
    <xf numFmtId="0" fontId="31" fillId="0" borderId="0" xfId="3" applyFont="1" applyAlignment="1"/>
    <xf numFmtId="0" fontId="32" fillId="0" borderId="0" xfId="0" applyFont="1" applyAlignment="1">
      <alignment vertical="center"/>
    </xf>
    <xf numFmtId="183" fontId="28" fillId="0" borderId="0" xfId="0" applyNumberFormat="1" applyFont="1" applyAlignment="1">
      <alignment horizontal="center"/>
    </xf>
    <xf numFmtId="0" fontId="28" fillId="0" borderId="0" xfId="0" applyFont="1" applyAlignment="1">
      <alignment vertical="center"/>
    </xf>
    <xf numFmtId="181" fontId="33" fillId="0" borderId="0" xfId="0" applyNumberFormat="1" applyFont="1"/>
    <xf numFmtId="182" fontId="28" fillId="0" borderId="0" xfId="0" applyNumberFormat="1" applyFont="1" applyAlignment="1">
      <alignment horizontal="center"/>
    </xf>
    <xf numFmtId="182" fontId="28" fillId="0" borderId="0" xfId="0" applyNumberFormat="1" applyFont="1"/>
    <xf numFmtId="184" fontId="28" fillId="0" borderId="0" xfId="0" applyNumberFormat="1" applyFont="1" applyAlignment="1">
      <alignment horizontal="center" vertical="center"/>
    </xf>
    <xf numFmtId="0" fontId="28" fillId="0" borderId="0" xfId="0" applyFont="1" applyAlignment="1">
      <alignment horizontal="left"/>
    </xf>
    <xf numFmtId="0" fontId="28" fillId="0" borderId="0" xfId="0" applyFont="1" applyAlignment="1">
      <alignment horizontal="right"/>
    </xf>
    <xf numFmtId="0" fontId="28" fillId="0" borderId="0" xfId="0" quotePrefix="1" applyFont="1" applyAlignment="1">
      <alignment horizontal="right"/>
    </xf>
    <xf numFmtId="0" fontId="28" fillId="0" borderId="0" xfId="0" quotePrefix="1" applyFont="1" applyAlignment="1">
      <alignment horizontal="center"/>
    </xf>
    <xf numFmtId="0" fontId="28" fillId="0" borderId="0" xfId="0" applyFont="1" applyAlignment="1">
      <alignment horizontal="center"/>
    </xf>
    <xf numFmtId="0" fontId="31" fillId="0" borderId="0" xfId="0" applyFont="1" applyAlignment="1">
      <alignment vertical="center"/>
    </xf>
    <xf numFmtId="49" fontId="28" fillId="0" borderId="0" xfId="0" applyNumberFormat="1" applyFont="1"/>
    <xf numFmtId="0" fontId="34" fillId="0" borderId="0" xfId="0" applyFont="1"/>
    <xf numFmtId="0" fontId="34" fillId="0" borderId="0" xfId="0" applyFont="1" applyAlignment="1">
      <alignment vertical="center"/>
    </xf>
    <xf numFmtId="0" fontId="28" fillId="0" borderId="0" xfId="0" applyFont="1" applyAlignment="1">
      <alignment vertical="top" wrapText="1"/>
    </xf>
    <xf numFmtId="0" fontId="28" fillId="0" borderId="0" xfId="0" applyFont="1" applyAlignment="1">
      <alignment shrinkToFit="1"/>
    </xf>
    <xf numFmtId="0" fontId="35" fillId="0" borderId="0" xfId="0" applyFont="1"/>
    <xf numFmtId="0" fontId="28" fillId="0" borderId="0" xfId="0" applyFont="1" applyAlignment="1">
      <alignment vertical="center" shrinkToFit="1"/>
    </xf>
    <xf numFmtId="0" fontId="28" fillId="0" borderId="0" xfId="0" applyFont="1" applyAlignment="1">
      <alignment horizontal="left" vertical="center" shrinkToFit="1"/>
    </xf>
    <xf numFmtId="0" fontId="29" fillId="0" borderId="3" xfId="0" applyFont="1" applyBorder="1" applyAlignment="1" applyProtection="1">
      <alignment horizontal="left"/>
      <protection locked="0"/>
    </xf>
    <xf numFmtId="0" fontId="29" fillId="0" borderId="3" xfId="0" applyFont="1" applyBorder="1" applyAlignment="1" applyProtection="1">
      <alignment horizontal="right"/>
      <protection locked="0"/>
    </xf>
    <xf numFmtId="0" fontId="15" fillId="0" borderId="77" xfId="0" applyFont="1" applyBorder="1" applyAlignment="1" applyProtection="1">
      <alignment horizontal="center"/>
      <protection locked="0"/>
    </xf>
    <xf numFmtId="0" fontId="16" fillId="2" borderId="22" xfId="1" applyFont="1" applyFill="1" applyBorder="1" applyAlignment="1" applyProtection="1">
      <alignment horizontal="center" vertical="center"/>
      <protection locked="0"/>
    </xf>
    <xf numFmtId="0" fontId="18" fillId="0" borderId="72" xfId="0" applyFont="1" applyBorder="1" applyProtection="1">
      <protection locked="0"/>
    </xf>
    <xf numFmtId="0" fontId="15" fillId="0" borderId="78" xfId="0" applyFont="1" applyBorder="1" applyProtection="1">
      <protection locked="0"/>
    </xf>
    <xf numFmtId="0" fontId="37" fillId="0" borderId="0" xfId="0" applyFont="1"/>
    <xf numFmtId="0" fontId="22" fillId="0" borderId="0" xfId="0" applyFont="1" applyAlignment="1">
      <alignment horizontal="center"/>
    </xf>
    <xf numFmtId="0" fontId="15" fillId="0" borderId="0" xfId="0" applyFont="1" applyAlignment="1" applyProtection="1">
      <alignment horizontal="center"/>
      <protection locked="0"/>
    </xf>
    <xf numFmtId="0" fontId="15" fillId="0" borderId="24" xfId="0" applyFont="1" applyBorder="1" applyAlignment="1" applyProtection="1">
      <alignment horizontal="center" shrinkToFit="1"/>
      <protection locked="0"/>
    </xf>
    <xf numFmtId="0" fontId="15" fillId="0" borderId="70" xfId="0" applyFont="1" applyBorder="1" applyAlignment="1" applyProtection="1">
      <alignment horizontal="center" shrinkToFit="1"/>
      <protection locked="0"/>
    </xf>
    <xf numFmtId="0" fontId="15" fillId="0" borderId="24" xfId="0" applyFont="1" applyBorder="1" applyAlignment="1" applyProtection="1">
      <alignment horizontal="center"/>
      <protection locked="0"/>
    </xf>
    <xf numFmtId="0" fontId="15" fillId="0" borderId="70" xfId="0" applyFont="1" applyBorder="1" applyAlignment="1" applyProtection="1">
      <alignment horizontal="center"/>
      <protection locked="0"/>
    </xf>
    <xf numFmtId="0" fontId="15" fillId="3" borderId="47" xfId="0" applyFont="1" applyFill="1" applyBorder="1" applyAlignment="1" applyProtection="1">
      <alignment horizontal="center"/>
      <protection locked="0"/>
    </xf>
    <xf numFmtId="0" fontId="15" fillId="3" borderId="48" xfId="0" applyFont="1" applyFill="1" applyBorder="1" applyAlignment="1" applyProtection="1">
      <alignment horizontal="center"/>
      <protection locked="0"/>
    </xf>
    <xf numFmtId="0" fontId="15" fillId="3" borderId="49" xfId="0" applyFont="1" applyFill="1" applyBorder="1" applyAlignment="1" applyProtection="1">
      <alignment horizontal="center"/>
      <protection locked="0"/>
    </xf>
    <xf numFmtId="0" fontId="15" fillId="0" borderId="22" xfId="0" applyFont="1" applyBorder="1" applyAlignment="1" applyProtection="1">
      <alignment horizontal="left"/>
      <protection locked="0"/>
    </xf>
    <xf numFmtId="0" fontId="15" fillId="0" borderId="74" xfId="0" applyFont="1" applyBorder="1" applyAlignment="1" applyProtection="1">
      <alignment horizontal="left"/>
      <protection locked="0"/>
    </xf>
    <xf numFmtId="0" fontId="15" fillId="0" borderId="25" xfId="0" applyFont="1" applyBorder="1" applyAlignment="1" applyProtection="1">
      <alignment horizontal="left"/>
      <protection locked="0"/>
    </xf>
    <xf numFmtId="0" fontId="15" fillId="0" borderId="28" xfId="0" applyFont="1" applyBorder="1" applyAlignment="1" applyProtection="1">
      <alignment horizontal="left"/>
      <protection locked="0"/>
    </xf>
    <xf numFmtId="0" fontId="15" fillId="0" borderId="75" xfId="0" applyFont="1" applyBorder="1" applyAlignment="1" applyProtection="1">
      <alignment horizontal="left"/>
      <protection locked="0"/>
    </xf>
    <xf numFmtId="0" fontId="15" fillId="0" borderId="26" xfId="0" applyFont="1" applyBorder="1" applyAlignment="1" applyProtection="1">
      <alignment horizontal="left"/>
      <protection locked="0"/>
    </xf>
    <xf numFmtId="0" fontId="15" fillId="0" borderId="61" xfId="0" applyFont="1" applyBorder="1" applyAlignment="1" applyProtection="1">
      <alignment horizontal="left"/>
      <protection locked="0"/>
    </xf>
    <xf numFmtId="0" fontId="15" fillId="0" borderId="70" xfId="0" applyFont="1" applyBorder="1" applyAlignment="1" applyProtection="1">
      <alignment horizontal="left"/>
      <protection locked="0"/>
    </xf>
    <xf numFmtId="0" fontId="15" fillId="0" borderId="77" xfId="0" applyFont="1" applyBorder="1" applyAlignment="1" applyProtection="1">
      <alignment horizontal="left"/>
      <protection locked="0"/>
    </xf>
    <xf numFmtId="0" fontId="15" fillId="0" borderId="81" xfId="0" applyFont="1" applyBorder="1" applyAlignment="1" applyProtection="1">
      <alignment horizontal="left"/>
      <protection locked="0"/>
    </xf>
    <xf numFmtId="0" fontId="15" fillId="0" borderId="80" xfId="0" applyFont="1" applyBorder="1" applyAlignment="1" applyProtection="1">
      <alignment horizontal="left"/>
      <protection locked="0"/>
    </xf>
    <xf numFmtId="0" fontId="10" fillId="0" borderId="39" xfId="4" applyFill="1" applyBorder="1" applyAlignment="1" applyProtection="1">
      <alignment horizontal="left"/>
      <protection locked="0"/>
    </xf>
    <xf numFmtId="0" fontId="15" fillId="0" borderId="50" xfId="0" applyFont="1" applyBorder="1" applyAlignment="1" applyProtection="1">
      <alignment horizontal="left"/>
      <protection locked="0"/>
    </xf>
    <xf numFmtId="0" fontId="15" fillId="0" borderId="51" xfId="0" applyFont="1" applyBorder="1" applyAlignment="1" applyProtection="1">
      <alignment horizontal="left"/>
      <protection locked="0"/>
    </xf>
    <xf numFmtId="0" fontId="26" fillId="0" borderId="37" xfId="0" applyFont="1" applyBorder="1" applyAlignment="1" applyProtection="1">
      <alignment horizontal="right"/>
      <protection locked="0"/>
    </xf>
    <xf numFmtId="0" fontId="15" fillId="0" borderId="42" xfId="0" applyFont="1" applyBorder="1" applyAlignment="1" applyProtection="1">
      <alignment horizontal="center" vertical="center"/>
      <protection locked="0"/>
    </xf>
    <xf numFmtId="0" fontId="15" fillId="0" borderId="71" xfId="0" applyFont="1" applyBorder="1" applyAlignment="1" applyProtection="1">
      <alignment horizontal="center" vertical="center"/>
      <protection locked="0"/>
    </xf>
    <xf numFmtId="0" fontId="15" fillId="0" borderId="53" xfId="0" applyFont="1" applyBorder="1" applyAlignment="1" applyProtection="1">
      <alignment horizontal="center"/>
      <protection locked="0"/>
    </xf>
    <xf numFmtId="0" fontId="15" fillId="0" borderId="36" xfId="0" applyFont="1" applyBorder="1" applyAlignment="1" applyProtection="1">
      <alignment horizontal="center"/>
      <protection locked="0"/>
    </xf>
    <xf numFmtId="0" fontId="15" fillId="0" borderId="75" xfId="0" applyFont="1" applyBorder="1" applyAlignment="1" applyProtection="1">
      <alignment horizontal="center"/>
      <protection locked="0"/>
    </xf>
    <xf numFmtId="0" fontId="15" fillId="0" borderId="26" xfId="0" applyFont="1" applyBorder="1" applyAlignment="1" applyProtection="1">
      <alignment horizontal="center"/>
      <protection locked="0"/>
    </xf>
    <xf numFmtId="0" fontId="15" fillId="0" borderId="42" xfId="0" applyFont="1" applyBorder="1" applyAlignment="1" applyProtection="1">
      <alignment horizontal="left" vertical="center" wrapText="1"/>
      <protection locked="0"/>
    </xf>
    <xf numFmtId="0" fontId="15" fillId="0" borderId="25" xfId="0" applyFont="1" applyBorder="1" applyAlignment="1" applyProtection="1">
      <alignment horizontal="left" vertical="top" wrapText="1"/>
      <protection locked="0"/>
    </xf>
    <xf numFmtId="0" fontId="15" fillId="0" borderId="37" xfId="0" applyFont="1" applyBorder="1" applyAlignment="1" applyProtection="1">
      <alignment horizontal="left" vertical="top" wrapText="1"/>
      <protection locked="0"/>
    </xf>
    <xf numFmtId="0" fontId="15" fillId="3" borderId="76" xfId="0" applyFont="1" applyFill="1" applyBorder="1" applyAlignment="1" applyProtection="1">
      <alignment horizontal="center" vertical="center"/>
      <protection locked="0"/>
    </xf>
    <xf numFmtId="0" fontId="15" fillId="3" borderId="35" xfId="0" applyFont="1" applyFill="1" applyBorder="1" applyAlignment="1" applyProtection="1">
      <alignment horizontal="center" vertical="center"/>
      <protection locked="0"/>
    </xf>
    <xf numFmtId="0" fontId="15" fillId="3" borderId="39" xfId="0" applyFont="1" applyFill="1" applyBorder="1" applyAlignment="1" applyProtection="1">
      <alignment horizontal="center" vertical="center"/>
      <protection locked="0"/>
    </xf>
    <xf numFmtId="0" fontId="15" fillId="3" borderId="47" xfId="0" applyFont="1" applyFill="1" applyBorder="1" applyAlignment="1" applyProtection="1">
      <alignment horizontal="center" vertical="center"/>
      <protection locked="0"/>
    </xf>
    <xf numFmtId="0" fontId="15" fillId="3" borderId="48" xfId="0" applyFont="1" applyFill="1" applyBorder="1" applyAlignment="1" applyProtection="1">
      <alignment horizontal="center" vertical="center"/>
      <protection locked="0"/>
    </xf>
    <xf numFmtId="0" fontId="15" fillId="3" borderId="49" xfId="0" applyFont="1" applyFill="1" applyBorder="1" applyAlignment="1" applyProtection="1">
      <alignment horizontal="center" vertical="center"/>
      <protection locked="0"/>
    </xf>
    <xf numFmtId="176" fontId="15" fillId="0" borderId="79" xfId="0" applyNumberFormat="1" applyFont="1" applyBorder="1" applyAlignment="1" applyProtection="1">
      <alignment horizontal="left"/>
      <protection locked="0"/>
    </xf>
    <xf numFmtId="176" fontId="15" fillId="0" borderId="42" xfId="0" applyNumberFormat="1" applyFont="1" applyBorder="1" applyAlignment="1" applyProtection="1">
      <alignment horizontal="left"/>
      <protection locked="0"/>
    </xf>
    <xf numFmtId="176" fontId="15" fillId="0" borderId="43" xfId="0" applyNumberFormat="1" applyFont="1" applyBorder="1" applyAlignment="1" applyProtection="1">
      <alignment horizontal="left"/>
      <protection locked="0"/>
    </xf>
    <xf numFmtId="0" fontId="15" fillId="0" borderId="38" xfId="0" applyFont="1" applyBorder="1" applyAlignment="1" applyProtection="1">
      <alignment horizontal="left" vertical="top" wrapText="1"/>
      <protection locked="0"/>
    </xf>
    <xf numFmtId="0" fontId="15" fillId="3" borderId="40" xfId="0" applyFont="1" applyFill="1" applyBorder="1" applyAlignment="1" applyProtection="1">
      <alignment horizontal="left" vertical="center" wrapText="1"/>
      <protection locked="0"/>
    </xf>
    <xf numFmtId="0" fontId="15" fillId="3" borderId="35" xfId="0" applyFont="1" applyFill="1" applyBorder="1" applyAlignment="1" applyProtection="1">
      <alignment horizontal="left" vertical="center" wrapText="1"/>
      <protection locked="0"/>
    </xf>
    <xf numFmtId="0" fontId="15" fillId="3" borderId="41" xfId="0" applyFont="1" applyFill="1" applyBorder="1" applyAlignment="1" applyProtection="1">
      <alignment horizontal="left" vertical="center" wrapText="1"/>
      <protection locked="0"/>
    </xf>
    <xf numFmtId="0" fontId="15" fillId="0" borderId="73" xfId="0" applyFont="1" applyBorder="1" applyAlignment="1" applyProtection="1">
      <alignment horizontal="center"/>
      <protection locked="0"/>
    </xf>
    <xf numFmtId="0" fontId="15" fillId="0" borderId="80" xfId="0" applyFont="1" applyBorder="1" applyAlignment="1" applyProtection="1">
      <alignment horizontal="center"/>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3" borderId="49" xfId="0" applyFont="1" applyFill="1" applyBorder="1" applyAlignment="1" applyProtection="1">
      <alignment horizontal="left" vertical="center" wrapText="1"/>
      <protection locked="0"/>
    </xf>
    <xf numFmtId="0" fontId="15" fillId="0" borderId="2" xfId="0" applyFont="1" applyBorder="1" applyAlignment="1" applyProtection="1">
      <alignment horizontal="center"/>
      <protection locked="0"/>
    </xf>
    <xf numFmtId="0" fontId="15" fillId="0" borderId="5" xfId="0" applyFont="1" applyBorder="1" applyAlignment="1" applyProtection="1">
      <alignment horizontal="center"/>
      <protection locked="0"/>
    </xf>
    <xf numFmtId="0" fontId="18" fillId="0" borderId="44" xfId="0" applyFont="1" applyBorder="1" applyAlignment="1" applyProtection="1">
      <alignment horizontal="center"/>
      <protection locked="0"/>
    </xf>
    <xf numFmtId="0" fontId="18" fillId="0" borderId="51" xfId="0" applyFont="1" applyBorder="1" applyAlignment="1" applyProtection="1">
      <alignment horizontal="center"/>
      <protection locked="0"/>
    </xf>
    <xf numFmtId="0" fontId="18" fillId="0" borderId="53" xfId="0" applyFont="1" applyBorder="1" applyAlignment="1" applyProtection="1">
      <alignment horizontal="left" vertical="center" wrapText="1" shrinkToFit="1"/>
      <protection locked="0"/>
    </xf>
    <xf numFmtId="0" fontId="18" fillId="0" borderId="37" xfId="0" applyFont="1" applyBorder="1" applyAlignment="1" applyProtection="1">
      <alignment horizontal="left" vertical="center" wrapText="1" shrinkToFit="1"/>
      <protection locked="0"/>
    </xf>
    <xf numFmtId="0" fontId="15" fillId="3" borderId="47" xfId="0" applyFont="1" applyFill="1" applyBorder="1" applyAlignment="1" applyProtection="1">
      <alignment horizontal="left" wrapText="1"/>
      <protection locked="0"/>
    </xf>
    <xf numFmtId="0" fontId="15" fillId="3" borderId="48" xfId="0" applyFont="1" applyFill="1" applyBorder="1" applyAlignment="1" applyProtection="1">
      <alignment horizontal="left" wrapText="1"/>
      <protection locked="0"/>
    </xf>
    <xf numFmtId="0" fontId="15" fillId="3" borderId="49" xfId="0" applyFont="1" applyFill="1" applyBorder="1" applyAlignment="1" applyProtection="1">
      <alignment horizontal="left" wrapText="1"/>
      <protection locked="0"/>
    </xf>
    <xf numFmtId="180" fontId="3" fillId="0" borderId="0" xfId="3" applyNumberFormat="1" applyAlignment="1">
      <alignment horizontal="right"/>
    </xf>
    <xf numFmtId="0" fontId="3" fillId="0" borderId="0" xfId="3" applyAlignment="1">
      <alignment horizontal="left" shrinkToFit="1"/>
    </xf>
    <xf numFmtId="0" fontId="28" fillId="0" borderId="0" xfId="0" applyFont="1" applyAlignment="1">
      <alignment horizontal="left" vertical="center" shrinkToFit="1"/>
    </xf>
    <xf numFmtId="178" fontId="28" fillId="0" borderId="0" xfId="0" applyNumberFormat="1" applyFont="1" applyAlignment="1">
      <alignment horizontal="center"/>
    </xf>
    <xf numFmtId="0" fontId="28" fillId="0" borderId="0" xfId="0" applyFont="1" applyAlignment="1">
      <alignment horizontal="left" vertical="top" wrapText="1"/>
    </xf>
    <xf numFmtId="178" fontId="28" fillId="0" borderId="0" xfId="0" applyNumberFormat="1" applyFont="1" applyAlignment="1">
      <alignment horizontal="right"/>
    </xf>
    <xf numFmtId="0" fontId="28" fillId="0" borderId="0" xfId="0" applyFont="1" applyAlignment="1">
      <alignment horizontal="left" vertical="center"/>
    </xf>
    <xf numFmtId="0" fontId="3" fillId="0" borderId="0" xfId="1" applyAlignment="1">
      <alignment horizontal="center"/>
    </xf>
    <xf numFmtId="0" fontId="3" fillId="0" borderId="0" xfId="1" applyAlignment="1">
      <alignment horizontal="center" wrapText="1"/>
    </xf>
    <xf numFmtId="177" fontId="3" fillId="0" borderId="0" xfId="1" applyNumberFormat="1" applyAlignment="1">
      <alignment horizontal="center" wrapText="1"/>
    </xf>
    <xf numFmtId="0" fontId="3" fillId="0" borderId="2" xfId="1" applyBorder="1" applyAlignment="1">
      <alignment horizontal="center"/>
    </xf>
    <xf numFmtId="0" fontId="3" fillId="0" borderId="8" xfId="1" applyBorder="1" applyAlignment="1">
      <alignment horizontal="center"/>
    </xf>
    <xf numFmtId="0" fontId="3" fillId="0" borderId="3" xfId="1" applyBorder="1" applyAlignment="1">
      <alignment horizontal="center" wrapText="1"/>
    </xf>
    <xf numFmtId="0" fontId="3" fillId="0" borderId="4" xfId="1" applyBorder="1" applyAlignment="1">
      <alignment horizontal="center" wrapText="1"/>
    </xf>
    <xf numFmtId="0" fontId="3" fillId="0" borderId="5" xfId="1" applyBorder="1" applyAlignment="1">
      <alignment horizontal="center"/>
    </xf>
    <xf numFmtId="0" fontId="3" fillId="0" borderId="3" xfId="1" applyBorder="1" applyAlignment="1">
      <alignment horizontal="center"/>
    </xf>
    <xf numFmtId="0" fontId="3" fillId="0" borderId="6" xfId="1" applyBorder="1" applyAlignment="1">
      <alignment horizontal="center"/>
    </xf>
    <xf numFmtId="0" fontId="3" fillId="0" borderId="12" xfId="1" applyBorder="1" applyAlignment="1">
      <alignment horizontal="center"/>
    </xf>
    <xf numFmtId="0" fontId="3" fillId="0" borderId="13" xfId="1" applyBorder="1" applyAlignment="1">
      <alignment horizontal="center"/>
    </xf>
    <xf numFmtId="0" fontId="3" fillId="0" borderId="14" xfId="1" applyBorder="1" applyAlignment="1">
      <alignment horizontal="center"/>
    </xf>
    <xf numFmtId="0" fontId="3" fillId="0" borderId="9" xfId="1" applyBorder="1" applyAlignment="1">
      <alignment horizontal="center" vertical="top" wrapText="1"/>
    </xf>
    <xf numFmtId="0" fontId="3" fillId="0" borderId="10" xfId="1" applyBorder="1" applyAlignment="1">
      <alignment horizontal="center"/>
    </xf>
    <xf numFmtId="0" fontId="3" fillId="0" borderId="9" xfId="1" applyBorder="1" applyAlignment="1">
      <alignment horizontal="center"/>
    </xf>
    <xf numFmtId="0" fontId="3" fillId="0" borderId="11" xfId="1" applyBorder="1" applyAlignment="1">
      <alignment horizontal="center"/>
    </xf>
    <xf numFmtId="177" fontId="3" fillId="0" borderId="9" xfId="1" applyNumberFormat="1" applyBorder="1" applyAlignment="1">
      <alignment horizontal="center" wrapText="1"/>
    </xf>
    <xf numFmtId="177" fontId="3" fillId="0" borderId="15" xfId="1" applyNumberFormat="1" applyBorder="1" applyAlignment="1">
      <alignment horizontal="center" wrapText="1"/>
    </xf>
    <xf numFmtId="0" fontId="20" fillId="5" borderId="0" xfId="1" applyFont="1" applyFill="1" applyAlignment="1">
      <alignment horizontal="left"/>
    </xf>
  </cellXfs>
  <cellStyles count="5">
    <cellStyle name="ハイパーリンク" xfId="4" builtinId="8"/>
    <cellStyle name="桁区切り 2" xfId="2" xr:uid="{00000000-0005-0000-0000-000001000000}"/>
    <cellStyle name="標準" xfId="0" builtinId="0"/>
    <cellStyle name="標準 2" xfId="1" xr:uid="{00000000-0005-0000-0000-000003000000}"/>
    <cellStyle name="標準 3" xfId="3" xr:uid="{00000000-0005-0000-0000-000004000000}"/>
  </cellStyles>
  <dxfs count="30">
    <dxf>
      <fill>
        <patternFill patternType="none">
          <bgColor auto="1"/>
        </patternFill>
      </fill>
    </dxf>
    <dxf>
      <fill>
        <patternFill patternType="none">
          <bgColor auto="1"/>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0"/>
        </patternFill>
      </fill>
    </dxf>
    <dxf>
      <fill>
        <patternFill patternType="none">
          <bgColor auto="1"/>
        </patternFill>
      </fill>
    </dxf>
    <dxf>
      <fill>
        <patternFill patternType="none">
          <bgColor auto="1"/>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92D050"/>
    <pageSetUpPr fitToPage="1"/>
  </sheetPr>
  <dimension ref="A1:BG149"/>
  <sheetViews>
    <sheetView tabSelected="1" view="pageBreakPreview" zoomScaleNormal="85" zoomScaleSheetLayoutView="100" workbookViewId="0"/>
  </sheetViews>
  <sheetFormatPr defaultColWidth="9" defaultRowHeight="15" x14ac:dyDescent="0.3"/>
  <cols>
    <col min="1" max="1" width="3.88671875" style="51" customWidth="1"/>
    <col min="2" max="2" width="11.21875" style="51" customWidth="1"/>
    <col min="3" max="3" width="6.6640625" style="51" customWidth="1"/>
    <col min="4" max="4" width="17.88671875" style="51" customWidth="1"/>
    <col min="5" max="5" width="9" style="51" customWidth="1"/>
    <col min="6" max="6" width="12.44140625" style="51" customWidth="1"/>
    <col min="7" max="7" width="8.44140625" style="51" customWidth="1"/>
    <col min="8" max="8" width="16.44140625" style="51" customWidth="1"/>
    <col min="9" max="10" width="9" style="51"/>
    <col min="11" max="11" width="32" style="51" customWidth="1"/>
    <col min="12" max="12" width="9" style="51" customWidth="1"/>
    <col min="13" max="13" width="9" style="51" hidden="1" customWidth="1"/>
    <col min="14" max="14" width="10.109375" style="51" hidden="1" customWidth="1"/>
    <col min="15" max="15" width="9" style="51" hidden="1" customWidth="1"/>
    <col min="16" max="16" width="20.33203125" style="51" hidden="1" customWidth="1"/>
    <col min="17" max="19" width="9" style="51" hidden="1" customWidth="1"/>
    <col min="20" max="20" width="9.77734375" style="51" hidden="1" customWidth="1"/>
    <col min="21" max="21" width="18.44140625" style="51" hidden="1" customWidth="1"/>
    <col min="22" max="22" width="13.88671875" style="54" hidden="1" customWidth="1"/>
    <col min="23" max="23" width="12" style="54" hidden="1" customWidth="1"/>
    <col min="24" max="24" width="11.44140625" style="54" hidden="1" customWidth="1"/>
    <col min="25" max="25" width="18.21875" style="54" hidden="1" customWidth="1"/>
    <col min="26" max="26" width="22.77734375" style="54" hidden="1" customWidth="1"/>
    <col min="27" max="27" width="4.109375" style="54" hidden="1" customWidth="1"/>
    <col min="28" max="28" width="9.44140625" style="54" hidden="1" customWidth="1"/>
    <col min="29" max="29" width="11.6640625" style="54" hidden="1" customWidth="1"/>
    <col min="30" max="30" width="18.21875" style="54" hidden="1" customWidth="1"/>
    <col min="31" max="36" width="4.109375" style="54" hidden="1" customWidth="1"/>
    <col min="37" max="37" width="9" style="51" hidden="1" customWidth="1"/>
    <col min="38" max="38" width="13.88671875" hidden="1" customWidth="1"/>
    <col min="39" max="39" width="60" hidden="1" customWidth="1"/>
    <col min="40" max="40" width="13.88671875" hidden="1" customWidth="1"/>
    <col min="41" max="41" width="58.21875" hidden="1" customWidth="1"/>
    <col min="42" max="42" width="13.88671875" hidden="1" customWidth="1"/>
    <col min="43" max="43" width="58.21875" hidden="1" customWidth="1"/>
    <col min="44" max="44" width="13.88671875" hidden="1" customWidth="1"/>
    <col min="45" max="45" width="70" hidden="1" customWidth="1"/>
    <col min="46" max="46" width="13.77734375" style="51" hidden="1" customWidth="1"/>
    <col min="47" max="47" width="59.33203125" style="51" hidden="1" customWidth="1"/>
    <col min="48" max="58" width="9" style="51" hidden="1" customWidth="1"/>
    <col min="59" max="59" width="15.88671875" style="51" hidden="1" customWidth="1"/>
    <col min="60" max="63" width="9" style="51" customWidth="1"/>
    <col min="64" max="16384" width="9" style="51"/>
  </cols>
  <sheetData>
    <row r="1" spans="1:58" x14ac:dyDescent="0.3">
      <c r="A1" s="61"/>
      <c r="B1" s="200" t="s">
        <v>391</v>
      </c>
      <c r="C1" s="200"/>
      <c r="D1" s="200"/>
      <c r="E1" s="200"/>
      <c r="F1" s="200"/>
      <c r="G1" s="200"/>
      <c r="H1" s="200"/>
      <c r="I1" s="200"/>
      <c r="J1" s="200"/>
      <c r="K1" s="200"/>
      <c r="L1" s="61"/>
      <c r="V1" s="142" t="s">
        <v>321</v>
      </c>
      <c r="W1" s="111"/>
      <c r="X1" s="111"/>
      <c r="Y1" s="111"/>
      <c r="Z1" s="111" t="s">
        <v>163</v>
      </c>
      <c r="AA1" s="111"/>
      <c r="AB1" s="111"/>
      <c r="AC1" s="111"/>
      <c r="AD1" s="111"/>
      <c r="AE1" s="111"/>
      <c r="AF1" s="54" t="s">
        <v>164</v>
      </c>
      <c r="AH1" s="54" t="s">
        <v>183</v>
      </c>
      <c r="AI1" s="111"/>
      <c r="AJ1" s="112"/>
      <c r="AL1" t="s">
        <v>167</v>
      </c>
      <c r="AM1" t="s">
        <v>134</v>
      </c>
      <c r="AN1" t="s">
        <v>168</v>
      </c>
      <c r="AO1" t="s">
        <v>135</v>
      </c>
      <c r="AP1" t="s">
        <v>169</v>
      </c>
      <c r="AQ1" t="s">
        <v>138</v>
      </c>
      <c r="AR1" t="s">
        <v>170</v>
      </c>
      <c r="AS1" t="s">
        <v>157</v>
      </c>
      <c r="AT1" t="s">
        <v>230</v>
      </c>
      <c r="AU1" t="s">
        <v>224</v>
      </c>
      <c r="AV1" t="s">
        <v>230</v>
      </c>
      <c r="AW1" t="s">
        <v>225</v>
      </c>
      <c r="AX1" t="s">
        <v>231</v>
      </c>
      <c r="AY1" t="s">
        <v>226</v>
      </c>
      <c r="AZ1" t="s">
        <v>232</v>
      </c>
      <c r="BA1" t="s">
        <v>227</v>
      </c>
      <c r="BB1" t="s">
        <v>233</v>
      </c>
      <c r="BC1" t="s">
        <v>228</v>
      </c>
      <c r="BD1" t="s">
        <v>234</v>
      </c>
      <c r="BE1" t="s">
        <v>229</v>
      </c>
      <c r="BF1" t="s">
        <v>235</v>
      </c>
    </row>
    <row r="2" spans="1:58" ht="15.6" thickBot="1" x14ac:dyDescent="0.35">
      <c r="A2" s="61"/>
      <c r="B2" s="61"/>
      <c r="C2" s="61"/>
      <c r="D2" s="61"/>
      <c r="E2" s="61"/>
      <c r="F2" s="61" t="s">
        <v>159</v>
      </c>
      <c r="G2" s="61"/>
      <c r="H2" s="61"/>
      <c r="I2" s="222" t="s">
        <v>410</v>
      </c>
      <c r="J2" s="222"/>
      <c r="K2" s="222"/>
      <c r="L2" s="61"/>
      <c r="N2" s="51">
        <f ca="1">COUNTIF($I:$I,"入力内容を確認してください")</f>
        <v>6</v>
      </c>
      <c r="V2" s="113"/>
      <c r="X2" s="54" t="s">
        <v>86</v>
      </c>
      <c r="Z2" s="114">
        <v>1.2</v>
      </c>
      <c r="AC2" s="54" t="s">
        <v>32</v>
      </c>
      <c r="AF2" s="54">
        <v>30</v>
      </c>
      <c r="AH2" s="54">
        <v>30</v>
      </c>
      <c r="AJ2" s="115">
        <f>AF2-AH2</f>
        <v>0</v>
      </c>
      <c r="AL2" s="54" t="s">
        <v>48</v>
      </c>
      <c r="AM2" s="54" t="s">
        <v>49</v>
      </c>
      <c r="AN2" s="54" t="s">
        <v>48</v>
      </c>
      <c r="AO2" s="54" t="s">
        <v>49</v>
      </c>
      <c r="AP2" s="54" t="s">
        <v>48</v>
      </c>
      <c r="AQ2" s="54" t="s">
        <v>49</v>
      </c>
      <c r="AR2" s="54" t="s">
        <v>48</v>
      </c>
      <c r="AS2" s="54" t="s">
        <v>49</v>
      </c>
      <c r="AT2" s="54" t="s">
        <v>48</v>
      </c>
      <c r="AU2" s="54" t="s">
        <v>49</v>
      </c>
    </row>
    <row r="3" spans="1:58" ht="15.6" thickBot="1" x14ac:dyDescent="0.35">
      <c r="A3" s="61"/>
      <c r="B3" s="68" t="s">
        <v>98</v>
      </c>
      <c r="C3" s="69"/>
      <c r="D3" s="69"/>
      <c r="E3" s="69"/>
      <c r="F3" s="69"/>
      <c r="G3" s="69"/>
      <c r="H3" s="69"/>
      <c r="I3" s="69"/>
      <c r="J3" s="69"/>
      <c r="K3" s="70"/>
      <c r="L3" s="61"/>
      <c r="V3" s="113" t="s">
        <v>203</v>
      </c>
      <c r="W3" s="54" t="s">
        <v>165</v>
      </c>
      <c r="X3" s="54" t="s">
        <v>180</v>
      </c>
      <c r="Y3" s="54" t="s">
        <v>181</v>
      </c>
      <c r="Z3" s="54" t="s">
        <v>311</v>
      </c>
      <c r="AB3" s="54" t="s">
        <v>165</v>
      </c>
      <c r="AC3" s="54" t="s">
        <v>180</v>
      </c>
      <c r="AD3" s="54" t="s">
        <v>182</v>
      </c>
      <c r="AE3" s="54" t="s">
        <v>316</v>
      </c>
      <c r="AJ3" s="115"/>
      <c r="AL3" s="54"/>
      <c r="AM3" s="54" t="s">
        <v>51</v>
      </c>
      <c r="AN3" s="54"/>
      <c r="AO3" s="54" t="s">
        <v>51</v>
      </c>
      <c r="AP3" s="54"/>
      <c r="AQ3" s="54" t="s">
        <v>51</v>
      </c>
      <c r="AR3" s="54"/>
      <c r="AS3" s="54" t="s">
        <v>51</v>
      </c>
      <c r="AT3" s="54"/>
      <c r="AU3" s="54" t="s">
        <v>51</v>
      </c>
    </row>
    <row r="4" spans="1:58" x14ac:dyDescent="0.3">
      <c r="A4" s="61"/>
      <c r="B4" s="71" t="s">
        <v>412</v>
      </c>
      <c r="C4" s="72"/>
      <c r="D4" s="72"/>
      <c r="E4" s="72"/>
      <c r="F4" s="72"/>
      <c r="G4" s="72"/>
      <c r="I4" s="193"/>
      <c r="J4" s="193"/>
      <c r="K4" s="192" t="s">
        <v>411</v>
      </c>
      <c r="L4" s="82"/>
      <c r="V4" s="113"/>
      <c r="W4" s="54" t="s">
        <v>165</v>
      </c>
      <c r="X4" s="54" t="s">
        <v>116</v>
      </c>
      <c r="Y4" s="54" t="s">
        <v>309</v>
      </c>
      <c r="Z4" s="54" t="s">
        <v>312</v>
      </c>
      <c r="AB4" s="54" t="s">
        <v>165</v>
      </c>
      <c r="AC4" s="54" t="s">
        <v>116</v>
      </c>
      <c r="AD4" s="54" t="s">
        <v>314</v>
      </c>
      <c r="AE4" s="54" t="s">
        <v>317</v>
      </c>
      <c r="AJ4" s="115"/>
      <c r="AL4" s="54"/>
      <c r="AM4" s="54" t="s">
        <v>136</v>
      </c>
      <c r="AN4" s="54"/>
      <c r="AO4" s="54" t="s">
        <v>136</v>
      </c>
      <c r="AP4" s="54"/>
      <c r="AQ4" s="54" t="s">
        <v>50</v>
      </c>
      <c r="AR4" s="54"/>
      <c r="AS4" s="54" t="s">
        <v>50</v>
      </c>
      <c r="AT4" s="54"/>
      <c r="AU4" s="54" t="s">
        <v>50</v>
      </c>
    </row>
    <row r="5" spans="1:58" x14ac:dyDescent="0.3">
      <c r="A5" s="61"/>
      <c r="B5" s="74" t="s">
        <v>195</v>
      </c>
      <c r="C5" s="61"/>
      <c r="D5" s="61"/>
      <c r="E5" s="61"/>
      <c r="F5" s="61"/>
      <c r="G5" s="61"/>
      <c r="H5" s="61"/>
      <c r="I5" s="61"/>
      <c r="J5" s="61"/>
      <c r="K5" s="75"/>
      <c r="L5" s="61"/>
      <c r="M5" s="51" t="s">
        <v>319</v>
      </c>
      <c r="V5" s="113"/>
      <c r="W5" s="54" t="s">
        <v>165</v>
      </c>
      <c r="X5" s="54" t="s">
        <v>94</v>
      </c>
      <c r="Y5" s="54" t="s">
        <v>310</v>
      </c>
      <c r="Z5" s="54" t="s">
        <v>313</v>
      </c>
      <c r="AB5" s="54" t="s">
        <v>165</v>
      </c>
      <c r="AC5" s="54" t="s">
        <v>94</v>
      </c>
      <c r="AD5" s="54" t="s">
        <v>315</v>
      </c>
      <c r="AE5" s="54" t="s">
        <v>318</v>
      </c>
      <c r="AJ5" s="115"/>
      <c r="AL5" s="54" t="s">
        <v>61</v>
      </c>
      <c r="AM5" s="54" t="s">
        <v>63</v>
      </c>
      <c r="AN5" s="54" t="s">
        <v>61</v>
      </c>
      <c r="AO5" s="54" t="s">
        <v>81</v>
      </c>
      <c r="AP5" s="54" t="s">
        <v>61</v>
      </c>
      <c r="AQ5" s="54" t="s">
        <v>81</v>
      </c>
      <c r="AR5" s="54" t="s">
        <v>61</v>
      </c>
      <c r="AS5" s="54" t="s">
        <v>81</v>
      </c>
      <c r="AT5" s="54" t="s">
        <v>61</v>
      </c>
      <c r="AU5" s="54" t="s">
        <v>81</v>
      </c>
    </row>
    <row r="6" spans="1:58" ht="15.6" thickBot="1" x14ac:dyDescent="0.35">
      <c r="A6" s="61"/>
      <c r="B6" s="76" t="s">
        <v>160</v>
      </c>
      <c r="C6" s="77"/>
      <c r="D6" s="77"/>
      <c r="E6" s="77"/>
      <c r="F6" s="77"/>
      <c r="G6" s="78" t="s">
        <v>216</v>
      </c>
      <c r="H6" s="77"/>
      <c r="I6" s="77"/>
      <c r="J6" s="77"/>
      <c r="K6" s="79"/>
      <c r="L6" s="61"/>
      <c r="M6" s="51" t="s">
        <v>329</v>
      </c>
      <c r="V6" s="113"/>
      <c r="W6" s="54" t="s">
        <v>165</v>
      </c>
      <c r="AB6" s="54" t="s">
        <v>165</v>
      </c>
      <c r="AJ6" s="115"/>
      <c r="AL6" s="54"/>
      <c r="AM6" s="54" t="s">
        <v>305</v>
      </c>
      <c r="AN6" s="54"/>
      <c r="AO6" s="54" t="s">
        <v>82</v>
      </c>
      <c r="AP6" s="54"/>
      <c r="AQ6" s="54" t="s">
        <v>82</v>
      </c>
      <c r="AR6" s="54"/>
      <c r="AS6" s="54" t="s">
        <v>82</v>
      </c>
      <c r="AT6" s="54"/>
      <c r="AU6" s="54" t="s">
        <v>82</v>
      </c>
    </row>
    <row r="7" spans="1:58" ht="15.6" thickBot="1" x14ac:dyDescent="0.35">
      <c r="A7" s="61"/>
      <c r="B7" s="61"/>
      <c r="C7" s="61"/>
      <c r="D7" s="61" t="s">
        <v>239</v>
      </c>
      <c r="E7" s="61"/>
      <c r="F7" s="61"/>
      <c r="G7" s="61"/>
      <c r="H7" s="61"/>
      <c r="I7" s="61"/>
      <c r="J7" s="61"/>
      <c r="K7" s="61"/>
      <c r="L7" s="61"/>
      <c r="N7" s="51" t="s">
        <v>334</v>
      </c>
      <c r="O7" s="51" t="s">
        <v>335</v>
      </c>
      <c r="V7" s="113"/>
      <c r="W7" s="54" t="s">
        <v>166</v>
      </c>
      <c r="X7" s="54" t="s">
        <v>134</v>
      </c>
      <c r="AJ7" s="115"/>
      <c r="AL7" s="54"/>
      <c r="AM7" s="54" t="s">
        <v>306</v>
      </c>
      <c r="AN7" s="54"/>
      <c r="AO7" s="54" t="s">
        <v>137</v>
      </c>
      <c r="AP7" s="54"/>
      <c r="AQ7" s="54" t="s">
        <v>83</v>
      </c>
      <c r="AR7" s="54"/>
      <c r="AS7" s="54" t="s">
        <v>83</v>
      </c>
      <c r="AT7" s="54"/>
      <c r="AU7" s="54" t="s">
        <v>83</v>
      </c>
    </row>
    <row r="8" spans="1:58" ht="15.6" thickBot="1" x14ac:dyDescent="0.35">
      <c r="A8" s="61">
        <v>1</v>
      </c>
      <c r="B8" s="68" t="s">
        <v>99</v>
      </c>
      <c r="C8" s="69"/>
      <c r="D8" s="69"/>
      <c r="E8" s="69"/>
      <c r="F8" s="69"/>
      <c r="G8" s="69"/>
      <c r="H8" s="70"/>
      <c r="I8" s="205" t="str">
        <f>IF(COUNTA(D9:D13)=5,"入力完了","入力内容を確認してください")</f>
        <v>入力内容を確認してください</v>
      </c>
      <c r="J8" s="206"/>
      <c r="K8" s="207"/>
      <c r="L8" s="61"/>
      <c r="N8" s="51" t="s">
        <v>340</v>
      </c>
      <c r="O8" s="51" t="s">
        <v>336</v>
      </c>
      <c r="V8" s="113"/>
      <c r="X8" s="54" t="str">
        <f>VLOOKUP($X7,名前2!$A$5:$B$8,2,0)</f>
        <v>車種区分①</v>
      </c>
      <c r="AJ8" s="115"/>
      <c r="AL8" s="54"/>
      <c r="AM8" s="54" t="s">
        <v>307</v>
      </c>
      <c r="AN8" s="54" t="s">
        <v>62</v>
      </c>
      <c r="AO8" s="54" t="s">
        <v>63</v>
      </c>
      <c r="AP8" s="54" t="s">
        <v>62</v>
      </c>
      <c r="AQ8" s="54" t="s">
        <v>63</v>
      </c>
      <c r="AR8" s="54" t="s">
        <v>144</v>
      </c>
      <c r="AS8" s="54" t="s">
        <v>63</v>
      </c>
      <c r="AT8" s="54" t="s">
        <v>144</v>
      </c>
      <c r="AU8" s="54" t="s">
        <v>63</v>
      </c>
    </row>
    <row r="9" spans="1:58" ht="16.5" customHeight="1" x14ac:dyDescent="0.3">
      <c r="A9" s="61"/>
      <c r="B9" s="250" t="s">
        <v>117</v>
      </c>
      <c r="C9" s="251"/>
      <c r="D9" s="238"/>
      <c r="E9" s="239"/>
      <c r="F9" s="239"/>
      <c r="G9" s="239"/>
      <c r="H9" s="239"/>
      <c r="I9" s="239"/>
      <c r="J9" s="239"/>
      <c r="K9" s="240"/>
      <c r="L9" s="61"/>
      <c r="N9" s="51" t="s">
        <v>334</v>
      </c>
      <c r="O9" s="51" t="s">
        <v>337</v>
      </c>
      <c r="V9" s="113"/>
      <c r="AJ9" s="115"/>
      <c r="AL9" s="54"/>
      <c r="AM9" s="54" t="s">
        <v>308</v>
      </c>
      <c r="AN9" s="54"/>
      <c r="AO9" s="54" t="s">
        <v>73</v>
      </c>
      <c r="AP9" s="54"/>
      <c r="AQ9" s="54" t="s">
        <v>73</v>
      </c>
      <c r="AR9" s="54"/>
      <c r="AS9" s="54" t="s">
        <v>140</v>
      </c>
      <c r="AT9" s="54"/>
      <c r="AU9" s="54" t="s">
        <v>140</v>
      </c>
    </row>
    <row r="10" spans="1:58" ht="16.5" customHeight="1" x14ac:dyDescent="0.3">
      <c r="A10" s="61"/>
      <c r="B10" s="203" t="s">
        <v>52</v>
      </c>
      <c r="C10" s="204"/>
      <c r="D10" s="208"/>
      <c r="E10" s="208"/>
      <c r="F10" s="208"/>
      <c r="G10" s="208"/>
      <c r="H10" s="208"/>
      <c r="I10" s="208"/>
      <c r="J10" s="208"/>
      <c r="K10" s="209"/>
      <c r="L10" s="61"/>
      <c r="O10" s="51" t="s">
        <v>338</v>
      </c>
      <c r="V10" s="113"/>
      <c r="AJ10" s="115"/>
      <c r="AL10" s="54"/>
      <c r="AM10" s="54" t="s">
        <v>83</v>
      </c>
      <c r="AN10" s="54"/>
      <c r="AO10" s="54" t="s">
        <v>74</v>
      </c>
      <c r="AP10" s="54"/>
      <c r="AQ10" s="54" t="s">
        <v>74</v>
      </c>
      <c r="AR10" s="54"/>
      <c r="AS10" s="54" t="s">
        <v>139</v>
      </c>
      <c r="AT10" s="54"/>
      <c r="AU10" s="54" t="s">
        <v>139</v>
      </c>
    </row>
    <row r="11" spans="1:58" ht="16.5" customHeight="1" x14ac:dyDescent="0.3">
      <c r="A11" s="61"/>
      <c r="B11" s="203" t="s">
        <v>158</v>
      </c>
      <c r="C11" s="204"/>
      <c r="D11" s="210"/>
      <c r="E11" s="210"/>
      <c r="F11" s="210"/>
      <c r="G11" s="210"/>
      <c r="H11" s="210"/>
      <c r="I11" s="210"/>
      <c r="J11" s="210"/>
      <c r="K11" s="211"/>
      <c r="L11" s="61"/>
      <c r="M11" s="51" t="s">
        <v>330</v>
      </c>
      <c r="V11" s="113"/>
      <c r="Z11" s="54" t="s">
        <v>163</v>
      </c>
      <c r="AF11" s="54" t="s">
        <v>164</v>
      </c>
      <c r="AH11" s="54" t="s">
        <v>183</v>
      </c>
      <c r="AJ11" s="115"/>
      <c r="AL11" s="54" t="s">
        <v>62</v>
      </c>
      <c r="AM11" s="54" t="s">
        <v>63</v>
      </c>
      <c r="AN11" s="54"/>
      <c r="AO11" s="54" t="s">
        <v>75</v>
      </c>
      <c r="AP11" s="54"/>
      <c r="AQ11" s="54" t="s">
        <v>75</v>
      </c>
      <c r="AR11" s="54"/>
      <c r="AS11" s="54" t="s">
        <v>141</v>
      </c>
      <c r="AT11" s="54"/>
      <c r="AU11" s="54" t="s">
        <v>141</v>
      </c>
    </row>
    <row r="12" spans="1:58" ht="16.5" customHeight="1" x14ac:dyDescent="0.3">
      <c r="A12" s="61"/>
      <c r="B12" s="201" t="s">
        <v>236</v>
      </c>
      <c r="C12" s="202"/>
      <c r="D12" s="212"/>
      <c r="E12" s="210"/>
      <c r="F12" s="210"/>
      <c r="G12" s="210"/>
      <c r="H12" s="210"/>
      <c r="I12" s="210"/>
      <c r="J12" s="210"/>
      <c r="K12" s="211"/>
      <c r="L12" s="61"/>
      <c r="O12" s="65" t="s">
        <v>322</v>
      </c>
      <c r="P12" s="51" t="s">
        <v>323</v>
      </c>
      <c r="V12" s="113"/>
      <c r="X12" s="54" t="s">
        <v>86</v>
      </c>
      <c r="Z12" s="116">
        <v>0.9</v>
      </c>
      <c r="AC12" s="54" t="s">
        <v>32</v>
      </c>
      <c r="AF12" s="54">
        <v>30</v>
      </c>
      <c r="AH12" s="54">
        <v>30</v>
      </c>
      <c r="AJ12" s="115">
        <f>AF12-AH12</f>
        <v>0</v>
      </c>
      <c r="AL12" s="54"/>
      <c r="AM12" s="54" t="s">
        <v>73</v>
      </c>
      <c r="AN12" s="54"/>
      <c r="AO12" s="54" t="s">
        <v>379</v>
      </c>
      <c r="AP12" s="54"/>
      <c r="AQ12" s="54" t="s">
        <v>379</v>
      </c>
      <c r="AR12" s="54"/>
      <c r="AS12" s="54" t="s">
        <v>142</v>
      </c>
      <c r="AT12" s="54"/>
      <c r="AU12" s="54" t="s">
        <v>142</v>
      </c>
    </row>
    <row r="13" spans="1:58" ht="16.5" customHeight="1" x14ac:dyDescent="0.3">
      <c r="A13" s="61"/>
      <c r="B13" s="245" t="s">
        <v>387</v>
      </c>
      <c r="C13" s="246"/>
      <c r="D13" s="216"/>
      <c r="E13" s="217"/>
      <c r="F13" s="217"/>
      <c r="G13" s="217"/>
      <c r="H13" s="217"/>
      <c r="I13" s="217"/>
      <c r="J13" s="217"/>
      <c r="K13" s="218"/>
      <c r="L13" s="61"/>
      <c r="N13" s="51" t="s">
        <v>333</v>
      </c>
      <c r="O13" s="51" t="s">
        <v>325</v>
      </c>
      <c r="V13" s="113" t="s">
        <v>200</v>
      </c>
      <c r="W13" s="54" t="s">
        <v>165</v>
      </c>
      <c r="X13" s="54" t="s">
        <v>180</v>
      </c>
      <c r="Y13" s="54" t="s">
        <v>189</v>
      </c>
      <c r="Z13" s="54" t="s">
        <v>283</v>
      </c>
      <c r="AB13" s="54" t="s">
        <v>165</v>
      </c>
      <c r="AC13" s="54" t="s">
        <v>180</v>
      </c>
      <c r="AD13" s="54" t="s">
        <v>184</v>
      </c>
      <c r="AE13" s="54" t="s">
        <v>286</v>
      </c>
      <c r="AJ13" s="115"/>
      <c r="AL13" s="54"/>
      <c r="AM13" s="54" t="s">
        <v>74</v>
      </c>
      <c r="AN13" s="54"/>
      <c r="AO13" s="54" t="s">
        <v>380</v>
      </c>
      <c r="AP13" s="54"/>
      <c r="AQ13" s="54" t="s">
        <v>380</v>
      </c>
      <c r="AR13" s="54"/>
      <c r="AS13" s="54" t="s">
        <v>143</v>
      </c>
      <c r="AT13" s="54"/>
      <c r="AU13" s="54" t="s">
        <v>143</v>
      </c>
    </row>
    <row r="14" spans="1:58" ht="16.5" customHeight="1" x14ac:dyDescent="0.3">
      <c r="A14" s="61"/>
      <c r="B14" s="203" t="s">
        <v>392</v>
      </c>
      <c r="C14" s="204"/>
      <c r="D14" s="213"/>
      <c r="E14" s="214"/>
      <c r="F14" s="214"/>
      <c r="G14" s="214"/>
      <c r="H14" s="214"/>
      <c r="I14" s="214"/>
      <c r="J14" s="214"/>
      <c r="K14" s="215"/>
      <c r="L14" s="61"/>
      <c r="N14" s="51" t="s">
        <v>320</v>
      </c>
      <c r="O14" s="51" t="s">
        <v>326</v>
      </c>
      <c r="V14" s="113"/>
      <c r="W14" s="54" t="s">
        <v>165</v>
      </c>
      <c r="X14" s="54" t="s">
        <v>116</v>
      </c>
      <c r="Y14" s="54" t="s">
        <v>289</v>
      </c>
      <c r="Z14" s="54" t="s">
        <v>284</v>
      </c>
      <c r="AB14" s="54" t="s">
        <v>165</v>
      </c>
      <c r="AC14" s="54" t="s">
        <v>116</v>
      </c>
      <c r="AD14" s="54" t="s">
        <v>291</v>
      </c>
      <c r="AE14" s="54" t="s">
        <v>287</v>
      </c>
      <c r="AJ14" s="115"/>
      <c r="AL14" s="54"/>
      <c r="AM14" s="54" t="s">
        <v>75</v>
      </c>
      <c r="AO14" s="54" t="s">
        <v>382</v>
      </c>
      <c r="AQ14" s="54" t="s">
        <v>382</v>
      </c>
      <c r="AR14" s="54" t="s">
        <v>145</v>
      </c>
      <c r="AS14" s="54" t="s">
        <v>63</v>
      </c>
      <c r="AT14" s="54" t="s">
        <v>145</v>
      </c>
      <c r="AU14" s="54" t="s">
        <v>63</v>
      </c>
    </row>
    <row r="15" spans="1:58" ht="16.5" customHeight="1" thickBot="1" x14ac:dyDescent="0.35">
      <c r="A15" s="61"/>
      <c r="B15" s="252" t="s">
        <v>388</v>
      </c>
      <c r="C15" s="253"/>
      <c r="D15" s="219"/>
      <c r="E15" s="220"/>
      <c r="F15" s="220"/>
      <c r="G15" s="220"/>
      <c r="H15" s="220"/>
      <c r="I15" s="220"/>
      <c r="J15" s="220"/>
      <c r="K15" s="221"/>
      <c r="L15" s="61"/>
      <c r="N15" s="51" t="s">
        <v>321</v>
      </c>
      <c r="O15" s="51" t="s">
        <v>327</v>
      </c>
      <c r="V15" s="113"/>
      <c r="W15" s="54" t="s">
        <v>165</v>
      </c>
      <c r="X15" s="54" t="s">
        <v>94</v>
      </c>
      <c r="Y15" s="54" t="s">
        <v>290</v>
      </c>
      <c r="Z15" s="54" t="s">
        <v>285</v>
      </c>
      <c r="AB15" s="54" t="s">
        <v>165</v>
      </c>
      <c r="AC15" s="54" t="s">
        <v>94</v>
      </c>
      <c r="AD15" s="54" t="s">
        <v>292</v>
      </c>
      <c r="AE15" s="54" t="s">
        <v>288</v>
      </c>
      <c r="AJ15" s="115"/>
      <c r="AL15" s="54"/>
      <c r="AM15" s="54" t="s">
        <v>379</v>
      </c>
      <c r="AO15" s="54" t="s">
        <v>381</v>
      </c>
      <c r="AQ15" s="54" t="s">
        <v>381</v>
      </c>
      <c r="AR15" s="54"/>
      <c r="AS15" s="54" t="s">
        <v>146</v>
      </c>
      <c r="AT15" s="54"/>
      <c r="AU15" s="54" t="s">
        <v>146</v>
      </c>
    </row>
    <row r="16" spans="1:58" ht="15.6" thickBot="1" x14ac:dyDescent="0.35">
      <c r="A16" s="61"/>
      <c r="B16" s="61"/>
      <c r="C16" s="61"/>
      <c r="D16" s="61"/>
      <c r="E16" s="61"/>
      <c r="F16" s="61"/>
      <c r="G16" s="61"/>
      <c r="H16" s="61"/>
      <c r="I16" s="61"/>
      <c r="J16" s="61"/>
      <c r="K16" s="61"/>
      <c r="L16" s="61"/>
      <c r="V16" s="113"/>
      <c r="W16" s="54" t="s">
        <v>165</v>
      </c>
      <c r="AB16" s="54" t="s">
        <v>165</v>
      </c>
      <c r="AJ16" s="115"/>
      <c r="AL16" s="54"/>
      <c r="AM16" s="54" t="s">
        <v>380</v>
      </c>
      <c r="AO16" s="54" t="s">
        <v>374</v>
      </c>
      <c r="AQ16" s="54" t="s">
        <v>374</v>
      </c>
      <c r="AR16" s="54"/>
      <c r="AS16" s="54" t="s">
        <v>147</v>
      </c>
      <c r="AT16" s="54"/>
      <c r="AU16" s="54" t="s">
        <v>147</v>
      </c>
    </row>
    <row r="17" spans="1:47" ht="15.6" thickBot="1" x14ac:dyDescent="0.35">
      <c r="A17" s="61">
        <v>2</v>
      </c>
      <c r="B17" s="68" t="s">
        <v>100</v>
      </c>
      <c r="C17" s="69"/>
      <c r="D17" s="69"/>
      <c r="E17" s="69"/>
      <c r="F17" s="69"/>
      <c r="G17" s="69"/>
      <c r="H17" s="69"/>
      <c r="I17" s="205" t="str">
        <f>IF($C$19="○",IF(COUNTA(E20)=1,"入力完了","入力内容を確認してください"),IF(COUNTA(C18:C19)=1,"入力完了","入力内容を確認してください"))</f>
        <v>入力内容を確認してください</v>
      </c>
      <c r="J17" s="206"/>
      <c r="K17" s="207"/>
      <c r="L17" s="61"/>
      <c r="M17" s="51" t="s">
        <v>331</v>
      </c>
      <c r="V17" s="113"/>
      <c r="W17" s="54" t="s">
        <v>166</v>
      </c>
      <c r="X17" s="54" t="s">
        <v>135</v>
      </c>
      <c r="AJ17" s="115"/>
      <c r="AM17" s="54" t="s">
        <v>382</v>
      </c>
      <c r="AO17" s="54" t="s">
        <v>375</v>
      </c>
      <c r="AQ17" s="54" t="s">
        <v>375</v>
      </c>
      <c r="AR17" s="54"/>
      <c r="AS17" s="54" t="s">
        <v>75</v>
      </c>
      <c r="AT17" s="54"/>
      <c r="AU17" s="54" t="s">
        <v>75</v>
      </c>
    </row>
    <row r="18" spans="1:47" x14ac:dyDescent="0.3">
      <c r="A18" s="61"/>
      <c r="B18" s="153" t="s">
        <v>131</v>
      </c>
      <c r="C18" s="154"/>
      <c r="D18" s="155" t="s">
        <v>46</v>
      </c>
      <c r="E18" s="155"/>
      <c r="F18" s="155"/>
      <c r="G18" s="155"/>
      <c r="H18" s="155"/>
      <c r="I18" s="155"/>
      <c r="J18" s="155"/>
      <c r="K18" s="156"/>
      <c r="L18" s="61"/>
      <c r="O18" s="51" t="s">
        <v>341</v>
      </c>
      <c r="V18" s="113"/>
      <c r="X18" s="54" t="str">
        <f>VLOOKUP($X17,名前2!$A$5:$B$8,2,0)</f>
        <v>車種区分②</v>
      </c>
      <c r="AJ18" s="115"/>
      <c r="AM18" s="54" t="s">
        <v>381</v>
      </c>
      <c r="AN18" s="54" t="s">
        <v>64</v>
      </c>
      <c r="AO18" s="54" t="s">
        <v>376</v>
      </c>
      <c r="AP18" s="54" t="s">
        <v>64</v>
      </c>
      <c r="AQ18" s="54" t="s">
        <v>376</v>
      </c>
      <c r="AR18" s="54"/>
      <c r="AS18" s="54" t="s">
        <v>148</v>
      </c>
      <c r="AT18" s="54"/>
      <c r="AU18" s="54" t="s">
        <v>148</v>
      </c>
    </row>
    <row r="19" spans="1:47" ht="15.6" thickBot="1" x14ac:dyDescent="0.35">
      <c r="A19" s="61"/>
      <c r="B19" s="164" t="s">
        <v>132</v>
      </c>
      <c r="C19" s="59"/>
      <c r="D19" s="77" t="s">
        <v>45</v>
      </c>
      <c r="E19" s="78" t="s">
        <v>161</v>
      </c>
      <c r="F19" s="77"/>
      <c r="G19" s="78"/>
      <c r="H19" s="78"/>
      <c r="I19" s="77"/>
      <c r="J19" s="77"/>
      <c r="K19" s="79"/>
      <c r="L19" s="61"/>
      <c r="N19" s="51" t="s">
        <v>320</v>
      </c>
      <c r="O19" s="51" t="s">
        <v>328</v>
      </c>
      <c r="V19" s="113"/>
      <c r="Z19" s="54" t="s">
        <v>163</v>
      </c>
      <c r="AF19" s="54" t="s">
        <v>164</v>
      </c>
      <c r="AH19" s="54" t="s">
        <v>183</v>
      </c>
      <c r="AJ19" s="115"/>
      <c r="AM19" s="54" t="s">
        <v>374</v>
      </c>
      <c r="AN19" s="54"/>
      <c r="AO19" s="54" t="s">
        <v>78</v>
      </c>
      <c r="AP19" s="54"/>
      <c r="AQ19" s="54" t="s">
        <v>78</v>
      </c>
      <c r="AR19" s="54"/>
      <c r="AS19" s="54" t="s">
        <v>149</v>
      </c>
      <c r="AT19" s="54"/>
      <c r="AU19" s="54" t="s">
        <v>149</v>
      </c>
    </row>
    <row r="20" spans="1:47" ht="42.75" customHeight="1" thickBot="1" x14ac:dyDescent="0.35">
      <c r="A20" s="61"/>
      <c r="B20" s="254" t="s">
        <v>399</v>
      </c>
      <c r="C20" s="255"/>
      <c r="D20" s="255"/>
      <c r="E20" s="231"/>
      <c r="F20" s="231"/>
      <c r="G20" s="231"/>
      <c r="H20" s="231"/>
      <c r="I20" s="231"/>
      <c r="J20" s="231"/>
      <c r="K20" s="241"/>
      <c r="L20" s="61"/>
      <c r="N20" s="51" t="s">
        <v>321</v>
      </c>
      <c r="O20" s="51" t="s">
        <v>332</v>
      </c>
      <c r="V20" s="113"/>
      <c r="X20" s="54" t="s">
        <v>86</v>
      </c>
      <c r="Z20" s="114">
        <v>1.3</v>
      </c>
      <c r="AC20" s="54" t="s">
        <v>32</v>
      </c>
      <c r="AF20" s="54">
        <v>30</v>
      </c>
      <c r="AH20" s="54">
        <v>30</v>
      </c>
      <c r="AJ20" s="115">
        <f>AF20-AH20</f>
        <v>0</v>
      </c>
      <c r="AM20" s="54" t="s">
        <v>375</v>
      </c>
      <c r="AN20" s="54"/>
      <c r="AO20" s="54" t="s">
        <v>377</v>
      </c>
      <c r="AP20" s="54"/>
      <c r="AQ20" s="54" t="s">
        <v>377</v>
      </c>
      <c r="AR20" s="54" t="s">
        <v>64</v>
      </c>
      <c r="AS20" s="54" t="s">
        <v>76</v>
      </c>
      <c r="AT20" s="54" t="s">
        <v>64</v>
      </c>
      <c r="AU20" s="54" t="s">
        <v>76</v>
      </c>
    </row>
    <row r="21" spans="1:47" ht="15.6" thickBot="1" x14ac:dyDescent="0.35">
      <c r="A21" s="61"/>
      <c r="B21" s="61"/>
      <c r="C21" s="61"/>
      <c r="D21" s="61"/>
      <c r="E21" s="61"/>
      <c r="F21" s="61"/>
      <c r="G21" s="61"/>
      <c r="H21" s="61"/>
      <c r="I21" s="61"/>
      <c r="J21" s="61"/>
      <c r="K21" s="61"/>
      <c r="L21" s="61"/>
      <c r="P21" s="63" t="str">
        <f>IF(COUNTA(大阪!A10:A15),"○","")</f>
        <v/>
      </c>
      <c r="V21" s="113" t="s">
        <v>111</v>
      </c>
      <c r="W21" s="54" t="s">
        <v>165</v>
      </c>
      <c r="X21" s="54" t="s">
        <v>180</v>
      </c>
      <c r="Y21" s="54" t="s">
        <v>201</v>
      </c>
      <c r="Z21" s="54" t="s">
        <v>185</v>
      </c>
      <c r="AB21" s="54" t="s">
        <v>165</v>
      </c>
      <c r="AC21" s="54" t="s">
        <v>180</v>
      </c>
      <c r="AD21" s="54" t="s">
        <v>186</v>
      </c>
      <c r="AE21" s="54" t="s">
        <v>187</v>
      </c>
      <c r="AJ21" s="115"/>
      <c r="AL21" s="54" t="s">
        <v>64</v>
      </c>
      <c r="AM21" s="54" t="s">
        <v>376</v>
      </c>
      <c r="AN21" s="54"/>
      <c r="AO21" s="54" t="s">
        <v>378</v>
      </c>
      <c r="AP21" s="54"/>
      <c r="AQ21" s="54" t="s">
        <v>378</v>
      </c>
      <c r="AR21" s="54"/>
      <c r="AS21" s="54" t="s">
        <v>77</v>
      </c>
      <c r="AT21" s="54"/>
      <c r="AU21" s="54" t="s">
        <v>77</v>
      </c>
    </row>
    <row r="22" spans="1:47" ht="55.8" customHeight="1" thickBot="1" x14ac:dyDescent="0.35">
      <c r="A22" s="61">
        <v>3</v>
      </c>
      <c r="B22" s="256" t="s">
        <v>406</v>
      </c>
      <c r="C22" s="257"/>
      <c r="D22" s="257"/>
      <c r="E22" s="257"/>
      <c r="F22" s="257"/>
      <c r="G22" s="257"/>
      <c r="H22" s="258"/>
      <c r="I22" s="235" t="str">
        <f>IF(COUNTA(C23:C24)=1,"入力完了","入力内容を確認してください")</f>
        <v>入力内容を確認してください</v>
      </c>
      <c r="J22" s="236"/>
      <c r="K22" s="237"/>
      <c r="L22" s="61"/>
      <c r="V22" s="113"/>
      <c r="W22" s="54" t="s">
        <v>165</v>
      </c>
      <c r="X22" s="54" t="s">
        <v>116</v>
      </c>
      <c r="Y22" s="54" t="s">
        <v>172</v>
      </c>
      <c r="Z22" s="54" t="s">
        <v>173</v>
      </c>
      <c r="AB22" s="54" t="s">
        <v>165</v>
      </c>
      <c r="AC22" s="54" t="s">
        <v>116</v>
      </c>
      <c r="AD22" s="54" t="s">
        <v>176</v>
      </c>
      <c r="AE22" s="54" t="s">
        <v>177</v>
      </c>
      <c r="AJ22" s="115"/>
      <c r="AL22" s="54"/>
      <c r="AM22" s="54" t="s">
        <v>78</v>
      </c>
      <c r="AN22" s="54"/>
      <c r="AO22" s="54" t="s">
        <v>65</v>
      </c>
      <c r="AP22" s="54"/>
      <c r="AQ22" s="54" t="s">
        <v>65</v>
      </c>
      <c r="AR22" s="54"/>
      <c r="AS22" s="54" t="s">
        <v>150</v>
      </c>
      <c r="AT22" s="54"/>
      <c r="AU22" s="54" t="s">
        <v>150</v>
      </c>
    </row>
    <row r="23" spans="1:47" x14ac:dyDescent="0.3">
      <c r="A23" s="61"/>
      <c r="B23" s="153" t="s">
        <v>131</v>
      </c>
      <c r="C23" s="154"/>
      <c r="D23" s="155" t="s">
        <v>53</v>
      </c>
      <c r="E23" s="155"/>
      <c r="F23" s="155"/>
      <c r="G23" s="155"/>
      <c r="H23" s="155"/>
      <c r="I23" s="155"/>
      <c r="J23" s="155"/>
      <c r="K23" s="156"/>
      <c r="L23" s="61"/>
      <c r="M23" s="139" t="s">
        <v>339</v>
      </c>
      <c r="N23" s="140"/>
      <c r="O23" s="140"/>
      <c r="P23" s="140"/>
      <c r="Q23" s="140"/>
      <c r="R23" s="140"/>
      <c r="S23" s="140"/>
      <c r="T23" s="140"/>
      <c r="U23" s="141"/>
      <c r="W23" s="54" t="s">
        <v>165</v>
      </c>
      <c r="X23" s="54" t="s">
        <v>94</v>
      </c>
      <c r="Y23" s="54" t="s">
        <v>174</v>
      </c>
      <c r="Z23" s="54" t="s">
        <v>175</v>
      </c>
      <c r="AB23" s="54" t="s">
        <v>165</v>
      </c>
      <c r="AC23" s="54" t="s">
        <v>94</v>
      </c>
      <c r="AD23" s="54" t="s">
        <v>178</v>
      </c>
      <c r="AE23" s="54" t="s">
        <v>179</v>
      </c>
      <c r="AJ23" s="115"/>
      <c r="AL23" s="54"/>
      <c r="AM23" s="54" t="s">
        <v>377</v>
      </c>
      <c r="AN23" s="54"/>
      <c r="AO23" s="54" t="s">
        <v>66</v>
      </c>
      <c r="AP23" s="54"/>
      <c r="AQ23" s="54" t="s">
        <v>66</v>
      </c>
      <c r="AR23" s="54"/>
      <c r="AS23" s="54" t="s">
        <v>151</v>
      </c>
      <c r="AT23" s="54"/>
      <c r="AU23" s="54" t="s">
        <v>151</v>
      </c>
    </row>
    <row r="24" spans="1:47" ht="15.6" thickBot="1" x14ac:dyDescent="0.35">
      <c r="A24" s="61"/>
      <c r="B24" s="164" t="s">
        <v>132</v>
      </c>
      <c r="C24" s="59"/>
      <c r="D24" s="77" t="s">
        <v>54</v>
      </c>
      <c r="E24" s="77"/>
      <c r="F24" s="77"/>
      <c r="G24" s="78"/>
      <c r="H24" s="78"/>
      <c r="I24" s="77"/>
      <c r="J24" s="77"/>
      <c r="K24" s="79"/>
      <c r="L24" s="61"/>
      <c r="M24" s="119"/>
      <c r="P24" s="51" t="s">
        <v>208</v>
      </c>
      <c r="Q24" s="51" t="str">
        <f>IF(C24="○",P24,"")</f>
        <v/>
      </c>
      <c r="U24" s="120"/>
      <c r="W24" s="54" t="s">
        <v>165</v>
      </c>
      <c r="AB24" s="54" t="s">
        <v>165</v>
      </c>
      <c r="AJ24" s="115"/>
      <c r="AL24" s="54"/>
      <c r="AM24" s="54" t="s">
        <v>378</v>
      </c>
      <c r="AN24" s="54"/>
      <c r="AO24" s="54" t="s">
        <v>67</v>
      </c>
      <c r="AP24" s="54"/>
      <c r="AQ24" s="54" t="s">
        <v>67</v>
      </c>
      <c r="AR24" s="54"/>
      <c r="AS24" s="54" t="s">
        <v>78</v>
      </c>
      <c r="AT24" s="54"/>
      <c r="AU24" s="54" t="s">
        <v>78</v>
      </c>
    </row>
    <row r="25" spans="1:47" x14ac:dyDescent="0.3">
      <c r="A25" s="61"/>
      <c r="B25" s="61"/>
      <c r="C25" s="61"/>
      <c r="D25" s="61"/>
      <c r="E25" s="80"/>
      <c r="F25" s="61"/>
      <c r="G25" s="61"/>
      <c r="H25" s="61"/>
      <c r="I25" s="61"/>
      <c r="J25" s="61"/>
      <c r="K25" s="61"/>
      <c r="L25" s="61"/>
      <c r="M25" s="121"/>
      <c r="P25" s="199" t="s">
        <v>86</v>
      </c>
      <c r="Q25" s="199"/>
      <c r="R25" s="199"/>
      <c r="S25" s="199"/>
      <c r="T25" s="2"/>
      <c r="U25" s="122" t="s">
        <v>206</v>
      </c>
      <c r="W25" s="54" t="s">
        <v>166</v>
      </c>
      <c r="X25" s="54" t="s">
        <v>135</v>
      </c>
      <c r="AJ25" s="115"/>
      <c r="AL25" s="54"/>
      <c r="AM25" s="54" t="s">
        <v>65</v>
      </c>
      <c r="AN25" s="54"/>
      <c r="AO25" s="54" t="s">
        <v>84</v>
      </c>
      <c r="AP25" s="54"/>
      <c r="AQ25" s="54" t="s">
        <v>84</v>
      </c>
      <c r="AR25" s="54"/>
      <c r="AS25" s="54" t="s">
        <v>80</v>
      </c>
      <c r="AT25" s="54"/>
      <c r="AU25" s="54" t="s">
        <v>80</v>
      </c>
    </row>
    <row r="26" spans="1:47" ht="15.6" hidden="1" thickBot="1" x14ac:dyDescent="0.35">
      <c r="A26" s="61"/>
      <c r="B26" s="68" t="s">
        <v>113</v>
      </c>
      <c r="C26" s="69"/>
      <c r="D26" s="69"/>
      <c r="E26" s="81"/>
      <c r="F26" s="69"/>
      <c r="G26" s="69"/>
      <c r="H26" s="69"/>
      <c r="I26" s="205" t="str">
        <f>IF(COUNTA(C27:C27)=1,"入力完了","入力内容を確認してください")</f>
        <v>入力完了</v>
      </c>
      <c r="J26" s="206"/>
      <c r="K26" s="207"/>
      <c r="L26" s="61"/>
      <c r="M26" s="119" t="str">
        <f>INDEX($B$27:$L$37,MATCH("○",$C$27:$C$27,0),1)</f>
        <v>大阪</v>
      </c>
      <c r="N26" s="1"/>
      <c r="O26" s="1"/>
      <c r="P26" s="109" t="s">
        <v>198</v>
      </c>
      <c r="Q26" s="147" t="s">
        <v>199</v>
      </c>
      <c r="R26" s="147" t="s">
        <v>370</v>
      </c>
      <c r="S26" s="147"/>
      <c r="T26" s="2"/>
      <c r="U26" s="122" t="s">
        <v>207</v>
      </c>
      <c r="X26" s="54" t="str">
        <f>VLOOKUP($X25,名前2!$A$5:$B$8,2,0)</f>
        <v>車種区分②</v>
      </c>
      <c r="AJ26" s="115"/>
      <c r="AL26" s="54"/>
      <c r="AM26" s="54" t="s">
        <v>66</v>
      </c>
      <c r="AN26" s="54"/>
      <c r="AO26" s="54" t="s">
        <v>85</v>
      </c>
      <c r="AP26" s="54"/>
      <c r="AQ26" s="54" t="s">
        <v>85</v>
      </c>
      <c r="AR26" s="54"/>
      <c r="AS26" s="54" t="s">
        <v>79</v>
      </c>
      <c r="AT26" s="54"/>
      <c r="AU26" s="54" t="s">
        <v>79</v>
      </c>
    </row>
    <row r="27" spans="1:47" ht="15.6" hidden="1" thickBot="1" x14ac:dyDescent="0.35">
      <c r="A27" s="61"/>
      <c r="B27" s="84" t="s">
        <v>110</v>
      </c>
      <c r="C27" s="59" t="s">
        <v>405</v>
      </c>
      <c r="D27" s="77" t="s">
        <v>386</v>
      </c>
      <c r="E27" s="77"/>
      <c r="F27" s="77"/>
      <c r="G27" s="77"/>
      <c r="H27" s="77"/>
      <c r="I27" s="77"/>
      <c r="J27" s="77"/>
      <c r="K27" s="79"/>
      <c r="L27" s="61"/>
      <c r="M27" s="119" t="s">
        <v>112</v>
      </c>
      <c r="N27" s="51" t="s">
        <v>118</v>
      </c>
      <c r="P27" s="147" t="str">
        <f ca="1">IF(INDIRECT(INDEX($Y:$Y,MATCH(手引き!$B27,$V:$V,0)))="","○","")</f>
        <v/>
      </c>
      <c r="Q27" s="147" t="str">
        <f ca="1">IF(INDIRECT(INDEX($Y:$Y,MATCH(手引き!$B27,$V:$V,0)+1))="","○","")</f>
        <v/>
      </c>
      <c r="R27" s="147" t="str">
        <f ca="1">IF(INDIRECT(INDEX($Y:$Y,MATCH(手引き!$B27,$V:$V,0)+2))="","○","")</f>
        <v/>
      </c>
      <c r="S27" s="147"/>
      <c r="T27" s="147"/>
      <c r="U27" s="123" t="str">
        <f ca="1">IF(INDIRECT(INDEX($AD:$AD,MATCH(手引き!$B27,$V:$V,0)))="","○","")</f>
        <v/>
      </c>
      <c r="Z27" s="54" t="s">
        <v>163</v>
      </c>
      <c r="AF27" s="54" t="s">
        <v>164</v>
      </c>
      <c r="AH27" s="54" t="s">
        <v>183</v>
      </c>
      <c r="AJ27" s="115"/>
      <c r="AL27" s="54"/>
      <c r="AM27" s="54" t="s">
        <v>67</v>
      </c>
      <c r="AN27" s="54"/>
      <c r="AO27" s="54" t="s">
        <v>68</v>
      </c>
      <c r="AP27" s="54"/>
      <c r="AQ27" s="54" t="s">
        <v>68</v>
      </c>
      <c r="AR27" s="54"/>
      <c r="AS27" s="54" t="s">
        <v>65</v>
      </c>
      <c r="AT27" s="54"/>
      <c r="AU27" s="54" t="s">
        <v>65</v>
      </c>
    </row>
    <row r="28" spans="1:47" ht="15.6" thickBot="1" x14ac:dyDescent="0.35">
      <c r="A28" s="61"/>
      <c r="B28" s="61"/>
      <c r="C28" s="61"/>
      <c r="D28" s="61"/>
      <c r="E28" s="80"/>
      <c r="F28" s="61"/>
      <c r="G28" s="61"/>
      <c r="H28" s="61"/>
      <c r="I28" s="61"/>
      <c r="J28" s="61"/>
      <c r="K28" s="61"/>
      <c r="L28" s="83"/>
      <c r="M28" s="119"/>
      <c r="P28" s="147"/>
      <c r="Q28" s="147"/>
      <c r="R28" s="147"/>
      <c r="S28" s="147"/>
      <c r="T28" s="147"/>
      <c r="U28" s="123"/>
      <c r="X28" s="54" t="s">
        <v>86</v>
      </c>
      <c r="Z28" s="114">
        <v>1.3</v>
      </c>
      <c r="AC28" s="54" t="s">
        <v>32</v>
      </c>
      <c r="AF28" s="54">
        <v>30</v>
      </c>
      <c r="AH28" s="54">
        <v>30</v>
      </c>
      <c r="AJ28" s="115">
        <f>AF28-AH28</f>
        <v>0</v>
      </c>
      <c r="AL28" s="54"/>
      <c r="AM28" s="54" t="s">
        <v>84</v>
      </c>
      <c r="AN28" s="54"/>
      <c r="AO28" s="54" t="s">
        <v>69</v>
      </c>
      <c r="AP28" s="54"/>
      <c r="AQ28" s="54" t="s">
        <v>69</v>
      </c>
      <c r="AR28" s="54"/>
      <c r="AS28" s="54" t="s">
        <v>66</v>
      </c>
      <c r="AT28" s="54"/>
      <c r="AU28" s="54" t="s">
        <v>66</v>
      </c>
    </row>
    <row r="29" spans="1:47" ht="15.6" thickBot="1" x14ac:dyDescent="0.35">
      <c r="A29" s="61">
        <v>4</v>
      </c>
      <c r="B29" s="68" t="s">
        <v>101</v>
      </c>
      <c r="C29" s="69"/>
      <c r="D29" s="69"/>
      <c r="E29" s="81"/>
      <c r="F29" s="69"/>
      <c r="G29" s="69"/>
      <c r="H29" s="69"/>
      <c r="I29" s="205" t="str">
        <f ca="1">IF(COUNTIF(M40:O42,"☓")&gt;0,"入力内容を確認してください","入力完了")</f>
        <v>入力内容を確認してください</v>
      </c>
      <c r="J29" s="206"/>
      <c r="K29" s="207"/>
      <c r="L29" s="83"/>
      <c r="M29" s="119"/>
      <c r="P29" s="147"/>
      <c r="Q29" s="147"/>
      <c r="R29" s="147"/>
      <c r="S29" s="147"/>
      <c r="T29" s="147"/>
      <c r="U29" s="123"/>
      <c r="V29" s="54" t="s">
        <v>342</v>
      </c>
      <c r="W29" s="54" t="s">
        <v>165</v>
      </c>
      <c r="X29" s="54" t="s">
        <v>180</v>
      </c>
      <c r="Y29" s="54" t="s">
        <v>343</v>
      </c>
      <c r="Z29" s="54" t="s">
        <v>344</v>
      </c>
      <c r="AB29" s="54" t="s">
        <v>165</v>
      </c>
      <c r="AC29" s="54" t="s">
        <v>180</v>
      </c>
      <c r="AD29" s="54" t="s">
        <v>345</v>
      </c>
      <c r="AE29" s="54" t="s">
        <v>346</v>
      </c>
      <c r="AJ29" s="115"/>
      <c r="AL29" s="54"/>
      <c r="AM29" s="54" t="s">
        <v>85</v>
      </c>
      <c r="AN29" s="54"/>
      <c r="AO29" s="54" t="s">
        <v>70</v>
      </c>
      <c r="AP29" s="54"/>
      <c r="AQ29" s="54" t="s">
        <v>70</v>
      </c>
      <c r="AR29" s="54"/>
      <c r="AS29" s="54" t="s">
        <v>152</v>
      </c>
      <c r="AT29" s="54"/>
      <c r="AU29" s="54" t="s">
        <v>152</v>
      </c>
    </row>
    <row r="30" spans="1:47" ht="25.2" customHeight="1" thickBot="1" x14ac:dyDescent="0.35">
      <c r="A30" s="61"/>
      <c r="B30" s="84"/>
      <c r="C30" s="85" t="s">
        <v>109</v>
      </c>
      <c r="D30" s="86" t="str">
        <f>HYPERLINK("#"&amp;$M$26&amp;"!A1","運賃額設定")</f>
        <v>運賃額設定</v>
      </c>
      <c r="E30" s="77" t="s">
        <v>108</v>
      </c>
      <c r="F30" s="77"/>
      <c r="G30" s="77"/>
      <c r="H30" s="77"/>
      <c r="I30" s="77"/>
      <c r="J30" s="77" t="str">
        <f>VLOOKUP("○",$C$27:$N$37,11,0)</f>
        <v>大阪府</v>
      </c>
      <c r="K30" s="79"/>
      <c r="L30" s="83"/>
      <c r="M30" s="119"/>
      <c r="P30" s="147"/>
      <c r="Q30" s="147"/>
      <c r="R30" s="147"/>
      <c r="S30" s="147"/>
      <c r="T30" s="147"/>
      <c r="U30" s="123"/>
      <c r="W30" s="54" t="s">
        <v>165</v>
      </c>
      <c r="X30" s="54" t="s">
        <v>116</v>
      </c>
      <c r="Y30" s="54" t="s">
        <v>347</v>
      </c>
      <c r="Z30" s="54" t="s">
        <v>348</v>
      </c>
      <c r="AB30" s="54" t="s">
        <v>165</v>
      </c>
      <c r="AC30" s="54" t="s">
        <v>116</v>
      </c>
      <c r="AD30" s="54" t="s">
        <v>349</v>
      </c>
      <c r="AE30" s="54" t="s">
        <v>350</v>
      </c>
      <c r="AJ30" s="115"/>
      <c r="AL30" s="54"/>
      <c r="AM30" s="54" t="s">
        <v>68</v>
      </c>
      <c r="AN30" s="54"/>
      <c r="AO30" s="54" t="s">
        <v>71</v>
      </c>
      <c r="AP30" s="54"/>
      <c r="AQ30" s="54" t="s">
        <v>71</v>
      </c>
      <c r="AR30" s="54"/>
      <c r="AS30" s="54" t="s">
        <v>84</v>
      </c>
      <c r="AT30" s="54"/>
      <c r="AU30" s="54" t="s">
        <v>84</v>
      </c>
    </row>
    <row r="31" spans="1:47" x14ac:dyDescent="0.3">
      <c r="A31" s="61"/>
      <c r="B31" s="61"/>
      <c r="C31" s="87"/>
      <c r="D31" s="103" t="s">
        <v>241</v>
      </c>
      <c r="E31" s="61"/>
      <c r="F31" s="61"/>
      <c r="G31" s="61"/>
      <c r="H31" s="61"/>
      <c r="I31" s="61"/>
      <c r="J31" s="61"/>
      <c r="K31" s="61"/>
      <c r="L31" s="83"/>
      <c r="M31" s="119"/>
      <c r="P31" s="147"/>
      <c r="Q31" s="147"/>
      <c r="R31" s="147"/>
      <c r="S31" s="147"/>
      <c r="T31" s="147"/>
      <c r="U31" s="123"/>
      <c r="W31" s="54" t="s">
        <v>165</v>
      </c>
      <c r="X31" s="54" t="s">
        <v>94</v>
      </c>
      <c r="Y31" s="54" t="s">
        <v>351</v>
      </c>
      <c r="Z31" s="54" t="s">
        <v>352</v>
      </c>
      <c r="AB31" s="54" t="s">
        <v>165</v>
      </c>
      <c r="AC31" s="54" t="s">
        <v>94</v>
      </c>
      <c r="AD31" s="54" t="s">
        <v>353</v>
      </c>
      <c r="AE31" s="54" t="s">
        <v>354</v>
      </c>
      <c r="AJ31" s="115"/>
      <c r="AL31" s="54"/>
      <c r="AM31" s="54" t="s">
        <v>69</v>
      </c>
      <c r="AN31" s="54"/>
      <c r="AO31" s="54" t="s">
        <v>72</v>
      </c>
      <c r="AP31" s="54"/>
      <c r="AQ31" s="54" t="s">
        <v>72</v>
      </c>
      <c r="AR31" s="54"/>
      <c r="AS31" s="54" t="s">
        <v>85</v>
      </c>
      <c r="AT31" s="54"/>
      <c r="AU31" s="54" t="s">
        <v>85</v>
      </c>
    </row>
    <row r="32" spans="1:47" ht="15.6" thickBot="1" x14ac:dyDescent="0.35">
      <c r="A32" s="61"/>
      <c r="B32" s="61"/>
      <c r="C32" s="61"/>
      <c r="D32" s="61"/>
      <c r="E32" s="61"/>
      <c r="F32" s="61"/>
      <c r="G32" s="61"/>
      <c r="H32" s="61"/>
      <c r="I32" s="61"/>
      <c r="J32" s="61"/>
      <c r="K32" s="61"/>
      <c r="L32" s="83"/>
      <c r="M32" s="119"/>
      <c r="P32" s="147"/>
      <c r="Q32" s="147"/>
      <c r="R32" s="147"/>
      <c r="S32" s="147"/>
      <c r="T32" s="147"/>
      <c r="U32" s="123"/>
      <c r="W32" s="54" t="s">
        <v>165</v>
      </c>
      <c r="AB32" s="54" t="s">
        <v>165</v>
      </c>
      <c r="AJ32" s="115"/>
      <c r="AL32" s="54"/>
      <c r="AM32" s="54" t="s">
        <v>70</v>
      </c>
      <c r="AR32" s="54"/>
      <c r="AS32" s="54" t="s">
        <v>68</v>
      </c>
      <c r="AT32" s="54"/>
      <c r="AU32" s="54" t="s">
        <v>68</v>
      </c>
    </row>
    <row r="33" spans="1:47" ht="15.6" thickBot="1" x14ac:dyDescent="0.35">
      <c r="A33" s="61">
        <v>5</v>
      </c>
      <c r="B33" s="247" t="s">
        <v>384</v>
      </c>
      <c r="C33" s="248"/>
      <c r="D33" s="248"/>
      <c r="E33" s="248"/>
      <c r="F33" s="248"/>
      <c r="G33" s="248"/>
      <c r="H33" s="249"/>
      <c r="I33" s="235" t="str">
        <f>IF($C$35="○",IF(M46=0,"入力完了","入力内容を確認してください"),IF(COUNTA(C34:C40)=1,"入力完了","入力内容を確認してください"))</f>
        <v>入力内容を確認してください</v>
      </c>
      <c r="J33" s="236"/>
      <c r="K33" s="237"/>
      <c r="L33" s="83"/>
      <c r="M33" s="119"/>
      <c r="P33" s="147"/>
      <c r="Q33" s="147"/>
      <c r="R33" s="147"/>
      <c r="S33" s="147"/>
      <c r="T33" s="147"/>
      <c r="U33" s="123"/>
      <c r="W33" s="54" t="s">
        <v>166</v>
      </c>
      <c r="X33" s="54" t="s">
        <v>134</v>
      </c>
      <c r="AJ33" s="115"/>
      <c r="AL33" s="54"/>
      <c r="AM33" s="54" t="s">
        <v>71</v>
      </c>
      <c r="AR33" s="54"/>
      <c r="AS33" s="54" t="s">
        <v>69</v>
      </c>
      <c r="AT33" s="54"/>
      <c r="AU33" s="54" t="s">
        <v>69</v>
      </c>
    </row>
    <row r="34" spans="1:47" x14ac:dyDescent="0.3">
      <c r="A34" s="75"/>
      <c r="B34" s="194" t="s">
        <v>131</v>
      </c>
      <c r="C34" s="195"/>
      <c r="D34" s="157" t="s">
        <v>196</v>
      </c>
      <c r="E34" s="157"/>
      <c r="F34" s="157"/>
      <c r="G34" s="157"/>
      <c r="H34" s="157"/>
      <c r="I34" s="157"/>
      <c r="J34" s="157"/>
      <c r="K34" s="157"/>
      <c r="L34" s="196"/>
      <c r="M34" s="119"/>
      <c r="P34" s="147"/>
      <c r="Q34" s="147"/>
      <c r="R34" s="147"/>
      <c r="S34" s="147"/>
      <c r="T34" s="147"/>
      <c r="U34" s="123"/>
      <c r="X34" s="54" t="str">
        <f>VLOOKUP($X33,名前2!$A$5:$B$8,2,0)</f>
        <v>車種区分①</v>
      </c>
      <c r="AJ34" s="115"/>
      <c r="AL34" s="54"/>
      <c r="AM34" s="54" t="s">
        <v>72</v>
      </c>
      <c r="AR34" s="54"/>
      <c r="AS34" s="54" t="s">
        <v>70</v>
      </c>
      <c r="AT34" s="54"/>
      <c r="AU34" s="54" t="s">
        <v>70</v>
      </c>
    </row>
    <row r="35" spans="1:47" x14ac:dyDescent="0.3">
      <c r="A35" s="61"/>
      <c r="B35" s="165" t="s">
        <v>132</v>
      </c>
      <c r="C35" s="60"/>
      <c r="D35" s="61" t="s">
        <v>95</v>
      </c>
      <c r="E35" s="61"/>
      <c r="F35" s="61"/>
      <c r="G35" s="61"/>
      <c r="H35" s="61"/>
      <c r="I35" s="61"/>
      <c r="J35" s="61"/>
      <c r="K35" s="75"/>
      <c r="L35" s="83"/>
      <c r="M35" s="119"/>
      <c r="P35" s="147"/>
      <c r="Q35" s="147"/>
      <c r="R35" s="147"/>
      <c r="S35" s="147"/>
      <c r="T35" s="147"/>
      <c r="U35" s="123"/>
      <c r="Z35" s="54" t="s">
        <v>163</v>
      </c>
      <c r="AF35" s="54" t="s">
        <v>164</v>
      </c>
      <c r="AH35" s="54" t="s">
        <v>183</v>
      </c>
      <c r="AJ35" s="115"/>
      <c r="AS35" s="54" t="s">
        <v>71</v>
      </c>
      <c r="AT35"/>
      <c r="AU35" s="54" t="s">
        <v>71</v>
      </c>
    </row>
    <row r="36" spans="1:47" ht="42" customHeight="1" x14ac:dyDescent="0.3">
      <c r="A36" s="61"/>
      <c r="B36" s="165"/>
      <c r="C36" s="62"/>
      <c r="D36" s="61"/>
      <c r="E36" s="90" t="str">
        <f>IF($C$35="○",IF(P38&lt;&gt;0,"特定大型車",""),"")</f>
        <v/>
      </c>
      <c r="F36" s="64"/>
      <c r="G36" s="61" t="str">
        <f>IF(E36="","","円")</f>
        <v/>
      </c>
      <c r="H36" s="61"/>
      <c r="I36" s="61"/>
      <c r="J36" s="61"/>
      <c r="K36" s="75"/>
      <c r="L36" s="83"/>
      <c r="M36" s="119"/>
      <c r="P36" s="147"/>
      <c r="Q36" s="147"/>
      <c r="R36" s="147"/>
      <c r="S36" s="147"/>
      <c r="T36" s="147"/>
      <c r="U36" s="123"/>
      <c r="X36" s="54" t="s">
        <v>86</v>
      </c>
      <c r="Z36" s="114">
        <v>1.2</v>
      </c>
      <c r="AC36" s="54" t="s">
        <v>32</v>
      </c>
      <c r="AF36" s="54">
        <v>30</v>
      </c>
      <c r="AH36" s="54">
        <v>30</v>
      </c>
      <c r="AJ36" s="115">
        <f>AF36-AH36</f>
        <v>0</v>
      </c>
      <c r="AS36" s="54" t="s">
        <v>72</v>
      </c>
      <c r="AT36"/>
      <c r="AU36" s="54" t="s">
        <v>72</v>
      </c>
    </row>
    <row r="37" spans="1:47" x14ac:dyDescent="0.3">
      <c r="A37" s="61"/>
      <c r="B37" s="165"/>
      <c r="C37" s="61"/>
      <c r="D37" s="61"/>
      <c r="E37" s="90" t="str">
        <f>IF($C$35="○",IF(Q38&lt;&gt;0,"大型車",""),"")</f>
        <v/>
      </c>
      <c r="F37" s="64"/>
      <c r="G37" s="61" t="str">
        <f t="shared" ref="G37:G38" si="0">IF(E37="","","円")</f>
        <v/>
      </c>
      <c r="H37" s="80" t="str">
        <f>IF(C35="○","※初乗運賃より高い金額は設定できません。","")</f>
        <v/>
      </c>
      <c r="I37" s="61"/>
      <c r="J37" s="61"/>
      <c r="K37" s="75"/>
      <c r="L37" s="83"/>
      <c r="M37" s="119"/>
      <c r="P37" s="147"/>
      <c r="Q37" s="147"/>
      <c r="R37" s="147"/>
      <c r="S37" s="147"/>
      <c r="T37" s="147"/>
      <c r="U37" s="123"/>
      <c r="V37" s="54" t="s">
        <v>357</v>
      </c>
      <c r="W37" s="54" t="s">
        <v>165</v>
      </c>
      <c r="X37" s="54" t="s">
        <v>180</v>
      </c>
      <c r="Y37" s="54" t="s">
        <v>358</v>
      </c>
      <c r="Z37" s="54" t="s">
        <v>365</v>
      </c>
      <c r="AB37" s="54" t="s">
        <v>165</v>
      </c>
      <c r="AC37" s="54" t="s">
        <v>180</v>
      </c>
      <c r="AD37" s="54" t="s">
        <v>362</v>
      </c>
      <c r="AE37" s="54" t="s">
        <v>364</v>
      </c>
      <c r="AJ37" s="115"/>
      <c r="AS37" s="54" t="s">
        <v>153</v>
      </c>
      <c r="AT37"/>
      <c r="AU37"/>
    </row>
    <row r="38" spans="1:47" x14ac:dyDescent="0.3">
      <c r="A38" s="61"/>
      <c r="B38" s="165"/>
      <c r="C38" s="61"/>
      <c r="D38" s="61"/>
      <c r="E38" s="90" t="str">
        <f>IF($C$35="○",IF(R38&lt;&gt;0,"普通車",""),"")</f>
        <v/>
      </c>
      <c r="F38" s="64"/>
      <c r="G38" s="61" t="str">
        <f t="shared" si="0"/>
        <v/>
      </c>
      <c r="H38" s="80"/>
      <c r="I38" s="61"/>
      <c r="J38" s="61"/>
      <c r="K38" s="75"/>
      <c r="L38" s="83"/>
      <c r="M38" s="119"/>
      <c r="P38" s="110">
        <f ca="1">COUNTIF(P27:P37,"○")</f>
        <v>0</v>
      </c>
      <c r="Q38" s="110">
        <f ca="1">COUNTIF(Q27:Q37,"○")</f>
        <v>0</v>
      </c>
      <c r="R38" s="110">
        <f ca="1">COUNTIF(R27:R37,"○")</f>
        <v>0</v>
      </c>
      <c r="S38" s="110"/>
      <c r="T38" s="110">
        <f ca="1">SUM(P38:S38)</f>
        <v>0</v>
      </c>
      <c r="U38" s="124">
        <f ca="1">COUNTIF(U27:U37,"○")</f>
        <v>0</v>
      </c>
      <c r="W38" s="54" t="s">
        <v>165</v>
      </c>
      <c r="X38" s="54" t="s">
        <v>116</v>
      </c>
      <c r="Y38" s="54" t="s">
        <v>360</v>
      </c>
      <c r="Z38" s="54" t="s">
        <v>366</v>
      </c>
      <c r="AB38" s="54" t="s">
        <v>165</v>
      </c>
      <c r="AC38" s="54" t="s">
        <v>116</v>
      </c>
      <c r="AD38" s="54" t="s">
        <v>359</v>
      </c>
      <c r="AE38" s="54" t="s">
        <v>367</v>
      </c>
      <c r="AJ38" s="115"/>
      <c r="AS38" s="54" t="s">
        <v>154</v>
      </c>
    </row>
    <row r="39" spans="1:47" x14ac:dyDescent="0.3">
      <c r="A39" s="61"/>
      <c r="B39" s="166"/>
      <c r="C39" s="157"/>
      <c r="D39" s="157"/>
      <c r="E39" s="158"/>
      <c r="F39" s="159"/>
      <c r="G39" s="157"/>
      <c r="H39" s="160"/>
      <c r="I39" s="157"/>
      <c r="J39" s="157"/>
      <c r="K39" s="161"/>
      <c r="L39" s="83"/>
      <c r="M39" s="119" t="s">
        <v>371</v>
      </c>
      <c r="N39" s="51" t="s">
        <v>372</v>
      </c>
      <c r="O39" s="51" t="s">
        <v>373</v>
      </c>
      <c r="P39" s="51" t="str">
        <f ca="1">IFERROR(LEFT(VLOOKUP("○",INDIRECT(別紙!$Z$3),2,0),1),"")</f>
        <v/>
      </c>
      <c r="Q39" s="51" t="str">
        <f ca="1">IFERROR(LEFT(VLOOKUP("○",INDIRECT(別紙!$Z$4),2,0),1),"")</f>
        <v/>
      </c>
      <c r="R39" s="51" t="str">
        <f ca="1">IFERROR(LEFT(VLOOKUP("○",INDIRECT(別紙!$Z$5),2,0),1),"")</f>
        <v/>
      </c>
      <c r="S39" s="51" t="str">
        <f ca="1">IFERROR(LEFT(VLOOKUP("○",INDIRECT(別紙!$Z$6),2,0),1),"")</f>
        <v/>
      </c>
      <c r="T39" s="51" t="str">
        <f ca="1">CONCATENATE(P39,Q39,R39,S39,"-")</f>
        <v>-</v>
      </c>
      <c r="U39" s="120"/>
      <c r="W39" s="54" t="s">
        <v>165</v>
      </c>
      <c r="X39" s="54" t="s">
        <v>94</v>
      </c>
      <c r="Y39" s="54" t="s">
        <v>361</v>
      </c>
      <c r="Z39" s="54" t="s">
        <v>368</v>
      </c>
      <c r="AB39" s="54" t="s">
        <v>165</v>
      </c>
      <c r="AC39" s="54" t="s">
        <v>94</v>
      </c>
      <c r="AD39" s="54" t="s">
        <v>363</v>
      </c>
      <c r="AE39" s="54" t="s">
        <v>369</v>
      </c>
      <c r="AJ39" s="115"/>
      <c r="AS39" s="54" t="s">
        <v>155</v>
      </c>
    </row>
    <row r="40" spans="1:47" ht="15.6" thickBot="1" x14ac:dyDescent="0.35">
      <c r="A40" s="61"/>
      <c r="B40" s="164" t="s">
        <v>133</v>
      </c>
      <c r="C40" s="59"/>
      <c r="D40" s="77" t="s">
        <v>35</v>
      </c>
      <c r="E40" s="77"/>
      <c r="F40" s="77"/>
      <c r="G40" s="77"/>
      <c r="H40" s="77"/>
      <c r="I40" s="77"/>
      <c r="J40" s="77"/>
      <c r="K40" s="79"/>
      <c r="L40" s="83"/>
      <c r="M40" s="128" t="str">
        <f ca="1">IF(C24="○","○",IF(COUNTIF(INDIRECT($M$26&amp;"!$A:$A"),"○")&gt;0,"○","☓"))</f>
        <v>☓</v>
      </c>
      <c r="N40" s="126" t="str">
        <f ca="1">IF(COUNTIF(INDIRECT($M$26&amp;"!$O:$O"),"○")&gt;0,"○","☓")</f>
        <v>☓</v>
      </c>
      <c r="O40" s="51" t="str">
        <f ca="1">IF(ISERROR(M40),"☓","")</f>
        <v/>
      </c>
      <c r="P40" s="51" t="str">
        <f ca="1">IFERROR(LEFT(VLOOKUP("○",INDIRECT(別紙!$AE$3),2,0),1),"")</f>
        <v/>
      </c>
      <c r="Q40" s="51" t="str">
        <f ca="1">IFERROR(LEFT(VLOOKUP("○",INDIRECT(別紙!$AE$4),2,0),1),"")</f>
        <v/>
      </c>
      <c r="R40" s="51" t="str">
        <f ca="1">IFERROR(LEFT(VLOOKUP("○",INDIRECT(別紙!$AE$5),2,0),1),"")</f>
        <v/>
      </c>
      <c r="S40" s="51" t="str">
        <f ca="1">IFERROR(LEFT(VLOOKUP("○",INDIRECT(別紙!$AE$7),2,0),1),"")</f>
        <v/>
      </c>
      <c r="T40" s="51" t="str">
        <f ca="1">CONCATENATE(P40,Q40,R40,S40,"-")</f>
        <v>-</v>
      </c>
      <c r="U40" s="120"/>
      <c r="AJ40" s="115"/>
      <c r="AS40" s="54" t="s">
        <v>156</v>
      </c>
    </row>
    <row r="41" spans="1:47" ht="16.2" thickTop="1" thickBot="1" x14ac:dyDescent="0.35">
      <c r="A41" s="61"/>
      <c r="B41" s="61"/>
      <c r="C41" s="61"/>
      <c r="D41" s="61"/>
      <c r="E41" s="61"/>
      <c r="F41" s="61"/>
      <c r="G41" s="61"/>
      <c r="H41" s="61"/>
      <c r="I41" s="61"/>
      <c r="J41" s="61"/>
      <c r="K41" s="61"/>
      <c r="L41" s="83"/>
      <c r="M41" s="136" t="s">
        <v>324</v>
      </c>
      <c r="N41" s="137"/>
      <c r="O41" s="137"/>
      <c r="P41" s="137"/>
      <c r="Q41" s="137"/>
      <c r="R41" s="137"/>
      <c r="S41" s="137"/>
      <c r="T41" s="137"/>
      <c r="U41" s="138"/>
      <c r="V41" s="127"/>
      <c r="W41" s="54" t="s">
        <v>166</v>
      </c>
      <c r="X41" s="54" t="s">
        <v>138</v>
      </c>
      <c r="AJ41" s="115"/>
      <c r="AQ41" s="54"/>
    </row>
    <row r="42" spans="1:47" ht="36" customHeight="1" thickTop="1" thickBot="1" x14ac:dyDescent="0.35">
      <c r="A42" s="61">
        <v>6</v>
      </c>
      <c r="B42" s="242" t="s">
        <v>385</v>
      </c>
      <c r="C42" s="243"/>
      <c r="D42" s="243"/>
      <c r="E42" s="243"/>
      <c r="F42" s="243"/>
      <c r="G42" s="243"/>
      <c r="H42" s="244"/>
      <c r="I42" s="232" t="str">
        <f>IF(COUNTA(B43:B45)=3,"入力完了","入力内容を確認してください")</f>
        <v>入力内容を確認してください</v>
      </c>
      <c r="J42" s="233"/>
      <c r="K42" s="234"/>
      <c r="L42" s="61"/>
      <c r="M42" s="129" t="s">
        <v>213</v>
      </c>
      <c r="N42" s="51" t="s">
        <v>214</v>
      </c>
      <c r="U42" s="130"/>
      <c r="V42" s="53"/>
      <c r="X42" s="54" t="str">
        <f>VLOOKUP($X41,名前2!$A$5:$B$8,2,0)</f>
        <v>車種区分③</v>
      </c>
      <c r="AJ42" s="115"/>
      <c r="AQ42" s="54"/>
    </row>
    <row r="43" spans="1:47" ht="37.799999999999997" customHeight="1" x14ac:dyDescent="0.3">
      <c r="A43" s="75"/>
      <c r="B43" s="223"/>
      <c r="C43" s="224"/>
      <c r="D43" s="229" t="s">
        <v>237</v>
      </c>
      <c r="E43" s="229"/>
      <c r="F43" s="229"/>
      <c r="G43" s="229"/>
      <c r="H43" s="229"/>
      <c r="I43" s="229"/>
      <c r="J43" s="229"/>
      <c r="K43" s="163" t="s">
        <v>238</v>
      </c>
      <c r="L43" s="61"/>
      <c r="M43" s="131" t="e">
        <f>IF(#REF!="短縮する",IF(COUNT(#REF!)=1,"○","☓"),"")</f>
        <v>#REF!</v>
      </c>
      <c r="N43" s="126" t="e">
        <f>IF(#REF!="短縮する","",IF(#REF!="短縮しない","","☓"))</f>
        <v>#REF!</v>
      </c>
      <c r="P43" s="51" t="s">
        <v>103</v>
      </c>
      <c r="Q43" s="51" t="str">
        <f>IF(C34="○",P43,"")</f>
        <v/>
      </c>
      <c r="U43" s="130"/>
      <c r="V43" s="53"/>
      <c r="Z43" s="54" t="s">
        <v>163</v>
      </c>
      <c r="AF43" s="54" t="s">
        <v>164</v>
      </c>
      <c r="AH43" s="54" t="s">
        <v>183</v>
      </c>
      <c r="AJ43" s="115"/>
    </row>
    <row r="44" spans="1:47" x14ac:dyDescent="0.3">
      <c r="A44" s="61"/>
      <c r="B44" s="227"/>
      <c r="C44" s="228"/>
      <c r="D44" s="230" t="s">
        <v>222</v>
      </c>
      <c r="E44" s="230"/>
      <c r="F44" s="230"/>
      <c r="G44" s="230"/>
      <c r="H44" s="230"/>
      <c r="I44" s="230"/>
      <c r="J44" s="230"/>
      <c r="K44" s="162"/>
      <c r="L44" s="61"/>
      <c r="M44" s="129" t="s">
        <v>210</v>
      </c>
      <c r="N44" s="51">
        <v>1</v>
      </c>
      <c r="P44" s="51" t="s">
        <v>104</v>
      </c>
      <c r="Q44" s="51" t="str">
        <f>IF(C35="○",P44,"")</f>
        <v/>
      </c>
      <c r="U44" s="130"/>
      <c r="V44" s="53"/>
      <c r="X44" s="54" t="s">
        <v>86</v>
      </c>
      <c r="Z44" s="114">
        <v>1.3</v>
      </c>
      <c r="AC44" s="54" t="s">
        <v>32</v>
      </c>
      <c r="AF44" s="54">
        <v>30</v>
      </c>
      <c r="AH44" s="54">
        <v>30</v>
      </c>
      <c r="AJ44" s="115">
        <f>AF44-AH44</f>
        <v>0</v>
      </c>
    </row>
    <row r="45" spans="1:47" ht="19.2" customHeight="1" thickBot="1" x14ac:dyDescent="0.35">
      <c r="A45" s="61"/>
      <c r="B45" s="225"/>
      <c r="C45" s="226"/>
      <c r="D45" s="231" t="s">
        <v>221</v>
      </c>
      <c r="E45" s="231"/>
      <c r="F45" s="231"/>
      <c r="G45" s="231"/>
      <c r="H45" s="231"/>
      <c r="I45" s="231"/>
      <c r="J45" s="231"/>
      <c r="K45" s="79"/>
      <c r="L45" s="61"/>
      <c r="M45" s="129" t="s">
        <v>215</v>
      </c>
      <c r="N45" s="51">
        <v>1</v>
      </c>
      <c r="U45" s="130"/>
      <c r="V45" s="54" t="s">
        <v>202</v>
      </c>
      <c r="W45" s="54" t="s">
        <v>165</v>
      </c>
      <c r="X45" s="54" t="s">
        <v>180</v>
      </c>
      <c r="Y45" s="54" t="s">
        <v>275</v>
      </c>
      <c r="Z45" s="54" t="s">
        <v>272</v>
      </c>
      <c r="AB45" s="54" t="s">
        <v>165</v>
      </c>
      <c r="AC45" s="54" t="s">
        <v>180</v>
      </c>
      <c r="AD45" s="54" t="s">
        <v>269</v>
      </c>
      <c r="AE45" s="54" t="s">
        <v>280</v>
      </c>
      <c r="AJ45" s="115"/>
    </row>
    <row r="46" spans="1:47" x14ac:dyDescent="0.3">
      <c r="A46" s="61"/>
      <c r="B46" s="61"/>
      <c r="C46" s="61"/>
      <c r="D46" s="61"/>
      <c r="E46" s="61"/>
      <c r="F46" s="61"/>
      <c r="G46" s="61"/>
      <c r="H46" s="61"/>
      <c r="I46" s="61"/>
      <c r="J46" s="61"/>
      <c r="K46" s="61"/>
      <c r="L46" s="61"/>
      <c r="M46" s="132">
        <f ca="1">IF(COUNTA(F36:F39)-T38=0,0,-1)</f>
        <v>0</v>
      </c>
      <c r="U46" s="130"/>
      <c r="W46" s="54" t="s">
        <v>165</v>
      </c>
      <c r="X46" s="54" t="s">
        <v>116</v>
      </c>
      <c r="Y46" s="54" t="s">
        <v>276</v>
      </c>
      <c r="Z46" s="54" t="s">
        <v>273</v>
      </c>
      <c r="AB46" s="54" t="s">
        <v>165</v>
      </c>
      <c r="AC46" s="54" t="s">
        <v>116</v>
      </c>
      <c r="AD46" s="54" t="s">
        <v>278</v>
      </c>
      <c r="AE46" s="54" t="s">
        <v>281</v>
      </c>
      <c r="AJ46" s="115"/>
    </row>
    <row r="47" spans="1:47" ht="15.6" thickBot="1" x14ac:dyDescent="0.35">
      <c r="A47" s="61"/>
      <c r="B47" s="61"/>
      <c r="C47" s="61"/>
      <c r="D47" s="61"/>
      <c r="E47" s="61"/>
      <c r="F47" s="61"/>
      <c r="G47" s="61"/>
      <c r="H47" s="61"/>
      <c r="I47" s="80"/>
      <c r="J47" s="61"/>
      <c r="K47" s="61"/>
      <c r="L47" s="61"/>
      <c r="M47" s="129" t="e">
        <f>IF(VLOOKUP($C$35,$C$27:$N$37,12,0)="普通車",2,3)</f>
        <v>#N/A</v>
      </c>
      <c r="U47" s="130"/>
      <c r="W47" s="54" t="s">
        <v>165</v>
      </c>
      <c r="X47" s="54" t="s">
        <v>94</v>
      </c>
      <c r="Y47" s="54" t="s">
        <v>277</v>
      </c>
      <c r="Z47" s="54" t="s">
        <v>274</v>
      </c>
      <c r="AB47" s="54" t="s">
        <v>165</v>
      </c>
      <c r="AC47" s="54" t="s">
        <v>94</v>
      </c>
      <c r="AD47" s="54" t="s">
        <v>279</v>
      </c>
      <c r="AE47" s="54" t="s">
        <v>282</v>
      </c>
      <c r="AJ47" s="115"/>
    </row>
    <row r="48" spans="1:47" ht="30.6" thickBot="1" x14ac:dyDescent="0.6">
      <c r="A48" s="61"/>
      <c r="B48" s="91" t="s">
        <v>162</v>
      </c>
      <c r="C48" s="92" t="str">
        <f ca="1">IF(N2=0,"入力完了→運輸支局へ提出してください","未入力等がありますので、再度確認してください")</f>
        <v>未入力等がありますので、再度確認してください</v>
      </c>
      <c r="D48" s="88"/>
      <c r="E48" s="88"/>
      <c r="F48" s="88"/>
      <c r="G48" s="88"/>
      <c r="H48" s="88"/>
      <c r="I48" s="88"/>
      <c r="J48" s="88"/>
      <c r="K48" s="89"/>
      <c r="L48" s="61"/>
      <c r="M48" s="129"/>
      <c r="U48" s="130"/>
      <c r="AJ48" s="115"/>
    </row>
    <row r="49" spans="1:36" ht="15.6" thickBot="1" x14ac:dyDescent="0.35">
      <c r="A49" s="61"/>
      <c r="B49" s="61"/>
      <c r="C49" s="61"/>
      <c r="D49" s="61"/>
      <c r="E49" s="61"/>
      <c r="F49" s="61"/>
      <c r="G49" s="61"/>
      <c r="H49" s="61"/>
      <c r="I49" s="61"/>
      <c r="J49" s="61"/>
      <c r="K49" s="61"/>
      <c r="L49" s="61"/>
      <c r="M49" s="129"/>
      <c r="P49" s="51" t="s">
        <v>188</v>
      </c>
      <c r="Q49" s="51" t="str">
        <f>IF(C40="○",P49,"")</f>
        <v/>
      </c>
      <c r="U49" s="130"/>
      <c r="W49" s="54" t="s">
        <v>166</v>
      </c>
      <c r="X49" s="54" t="s">
        <v>138</v>
      </c>
      <c r="AJ49" s="115"/>
    </row>
    <row r="50" spans="1:36" ht="15.6" thickBot="1" x14ac:dyDescent="0.35">
      <c r="A50" s="61"/>
      <c r="B50" s="68" t="s">
        <v>197</v>
      </c>
      <c r="C50" s="69"/>
      <c r="D50" s="69"/>
      <c r="E50" s="69"/>
      <c r="F50" s="69"/>
      <c r="G50" s="69"/>
      <c r="H50" s="69"/>
      <c r="I50" s="69"/>
      <c r="J50" s="69"/>
      <c r="K50" s="70"/>
      <c r="L50" s="61"/>
      <c r="M50" s="129"/>
      <c r="U50" s="130"/>
      <c r="X50" s="54" t="str">
        <f>VLOOKUP($X49,名前2!$A$5:$B$8,2,0)</f>
        <v>車種区分③</v>
      </c>
      <c r="AJ50" s="115"/>
    </row>
    <row r="51" spans="1:36" x14ac:dyDescent="0.3">
      <c r="A51" s="61"/>
      <c r="B51" s="93"/>
      <c r="C51" s="72" t="s">
        <v>114</v>
      </c>
      <c r="D51" s="94" t="str">
        <f>HYPERLINK("#"&amp;"申請書表紙!A1","申請書表紙")</f>
        <v>申請書表紙</v>
      </c>
      <c r="E51" s="72"/>
      <c r="F51" s="72"/>
      <c r="G51" s="72"/>
      <c r="H51" s="72"/>
      <c r="I51" s="72"/>
      <c r="J51" s="72"/>
      <c r="K51" s="73"/>
      <c r="L51" s="61"/>
      <c r="M51" s="129"/>
      <c r="U51" s="130"/>
      <c r="Z51" s="54" t="s">
        <v>163</v>
      </c>
      <c r="AF51" s="54" t="s">
        <v>164</v>
      </c>
      <c r="AH51" s="54" t="s">
        <v>183</v>
      </c>
      <c r="AJ51" s="115"/>
    </row>
    <row r="52" spans="1:36" ht="15.6" thickBot="1" x14ac:dyDescent="0.35">
      <c r="A52" s="61"/>
      <c r="B52" s="84"/>
      <c r="C52" s="77" t="s">
        <v>115</v>
      </c>
      <c r="D52" s="95" t="str">
        <f>HYPERLINK("#"&amp;"別紙!A1","申請書別紙")</f>
        <v>申請書別紙</v>
      </c>
      <c r="E52" s="77" t="s">
        <v>223</v>
      </c>
      <c r="F52" s="77"/>
      <c r="G52" s="77"/>
      <c r="H52" s="77"/>
      <c r="I52" s="77"/>
      <c r="J52" s="77"/>
      <c r="K52" s="79"/>
      <c r="L52" s="61"/>
      <c r="M52" s="129"/>
      <c r="P52" s="51" t="s">
        <v>107</v>
      </c>
      <c r="Q52" s="51" t="str">
        <f>IF(B43="設定する",P52,"")</f>
        <v/>
      </c>
      <c r="U52" s="130"/>
      <c r="X52" s="54" t="s">
        <v>86</v>
      </c>
      <c r="Z52" s="116">
        <v>0.9</v>
      </c>
      <c r="AC52" s="54" t="s">
        <v>32</v>
      </c>
      <c r="AD52" s="54" t="s">
        <v>204</v>
      </c>
      <c r="AF52" s="54">
        <v>60</v>
      </c>
      <c r="AH52" s="54">
        <v>30</v>
      </c>
      <c r="AJ52" s="115">
        <f>AF52-AH52</f>
        <v>30</v>
      </c>
    </row>
    <row r="53" spans="1:36" ht="15.6" thickBot="1" x14ac:dyDescent="0.35">
      <c r="A53" s="61"/>
      <c r="B53" s="61"/>
      <c r="C53" s="61"/>
      <c r="D53" s="61"/>
      <c r="E53" s="61"/>
      <c r="F53" s="61"/>
      <c r="G53" s="61"/>
      <c r="H53" s="61"/>
      <c r="I53" s="61"/>
      <c r="J53" s="61"/>
      <c r="K53" s="61"/>
      <c r="L53" s="61"/>
      <c r="M53" s="129"/>
      <c r="P53" s="51" t="s">
        <v>106</v>
      </c>
      <c r="Q53" s="51" t="str">
        <f>IF(B44="設定する",P53,"")</f>
        <v/>
      </c>
      <c r="U53" s="130"/>
      <c r="V53" s="54" t="s">
        <v>293</v>
      </c>
      <c r="W53" s="54" t="s">
        <v>165</v>
      </c>
      <c r="X53" s="54" t="s">
        <v>180</v>
      </c>
      <c r="Y53" s="54" t="s">
        <v>294</v>
      </c>
      <c r="Z53" s="54" t="s">
        <v>298</v>
      </c>
      <c r="AB53" s="54" t="s">
        <v>165</v>
      </c>
      <c r="AC53" s="54" t="s">
        <v>180</v>
      </c>
      <c r="AD53" s="54" t="s">
        <v>356</v>
      </c>
      <c r="AE53" s="54" t="s">
        <v>302</v>
      </c>
      <c r="AJ53" s="115"/>
    </row>
    <row r="54" spans="1:36" ht="15.6" thickBot="1" x14ac:dyDescent="0.35">
      <c r="A54" s="61"/>
      <c r="B54" s="96" t="s">
        <v>119</v>
      </c>
      <c r="C54" s="97"/>
      <c r="D54" s="97"/>
      <c r="E54" s="97"/>
      <c r="F54" s="97"/>
      <c r="G54" s="97"/>
      <c r="H54" s="97"/>
      <c r="I54" s="97"/>
      <c r="J54" s="97"/>
      <c r="K54" s="98"/>
      <c r="L54" s="61"/>
      <c r="M54" s="129"/>
      <c r="P54" s="51" t="s">
        <v>105</v>
      </c>
      <c r="Q54" s="51" t="str">
        <f>IF(B45="設定する",P54,"")</f>
        <v/>
      </c>
      <c r="U54" s="130"/>
      <c r="W54" s="54" t="s">
        <v>165</v>
      </c>
      <c r="X54" s="54" t="s">
        <v>116</v>
      </c>
      <c r="Y54" s="54" t="s">
        <v>295</v>
      </c>
      <c r="Z54" s="54" t="s">
        <v>297</v>
      </c>
      <c r="AB54" s="54" t="s">
        <v>165</v>
      </c>
      <c r="AC54" s="54" t="s">
        <v>116</v>
      </c>
      <c r="AD54" s="54" t="s">
        <v>300</v>
      </c>
      <c r="AE54" s="54" t="s">
        <v>303</v>
      </c>
      <c r="AJ54" s="115"/>
    </row>
    <row r="55" spans="1:36" x14ac:dyDescent="0.3">
      <c r="A55" s="61"/>
      <c r="B55" s="82"/>
      <c r="C55" s="61"/>
      <c r="D55" s="100" t="s">
        <v>128</v>
      </c>
      <c r="E55" s="101" t="s">
        <v>240</v>
      </c>
      <c r="F55" s="61"/>
      <c r="G55" s="61" t="s">
        <v>126</v>
      </c>
      <c r="H55" s="61" t="s">
        <v>124</v>
      </c>
      <c r="I55" s="102"/>
      <c r="J55" s="61"/>
      <c r="K55" s="75"/>
      <c r="L55" s="61"/>
      <c r="M55" s="129"/>
      <c r="U55" s="130"/>
      <c r="W55" s="54" t="s">
        <v>165</v>
      </c>
      <c r="X55" s="54" t="s">
        <v>94</v>
      </c>
      <c r="Y55" s="54" t="s">
        <v>296</v>
      </c>
      <c r="Z55" s="54" t="s">
        <v>299</v>
      </c>
      <c r="AB55" s="54" t="s">
        <v>165</v>
      </c>
      <c r="AC55" s="54" t="s">
        <v>94</v>
      </c>
      <c r="AD55" s="54" t="s">
        <v>301</v>
      </c>
      <c r="AE55" s="54" t="s">
        <v>304</v>
      </c>
      <c r="AJ55" s="115"/>
    </row>
    <row r="56" spans="1:36" ht="15.6" thickBot="1" x14ac:dyDescent="0.35">
      <c r="A56" s="61"/>
      <c r="B56" s="82"/>
      <c r="C56" s="61"/>
      <c r="D56" s="104" t="s">
        <v>270</v>
      </c>
      <c r="E56" s="61" t="s">
        <v>271</v>
      </c>
      <c r="F56" s="61"/>
      <c r="G56" s="61" t="s">
        <v>127</v>
      </c>
      <c r="H56" s="61" t="s">
        <v>125</v>
      </c>
      <c r="I56" s="61"/>
      <c r="J56" s="61"/>
      <c r="K56" s="75"/>
      <c r="L56" s="61"/>
      <c r="M56" s="129"/>
      <c r="Q56" s="51" t="str">
        <f>IF(C46="○",P56,"")</f>
        <v/>
      </c>
      <c r="U56" s="130"/>
      <c r="W56" s="54" t="s">
        <v>165</v>
      </c>
      <c r="AB56" s="54" t="s">
        <v>165</v>
      </c>
      <c r="AJ56" s="115"/>
    </row>
    <row r="57" spans="1:36" ht="15.6" thickBot="1" x14ac:dyDescent="0.35">
      <c r="A57" s="61"/>
      <c r="B57" s="96" t="s">
        <v>398</v>
      </c>
      <c r="C57" s="97"/>
      <c r="D57" s="97"/>
      <c r="E57" s="97"/>
      <c r="F57" s="97"/>
      <c r="G57" s="97"/>
      <c r="H57" s="97"/>
      <c r="I57" s="97" t="s">
        <v>190</v>
      </c>
      <c r="J57" s="97"/>
      <c r="K57" s="97" t="s">
        <v>191</v>
      </c>
      <c r="L57" s="61"/>
      <c r="M57" s="129"/>
      <c r="U57" s="130"/>
      <c r="W57" s="54" t="s">
        <v>166</v>
      </c>
      <c r="X57" s="54" t="s">
        <v>135</v>
      </c>
      <c r="AJ57" s="115"/>
    </row>
    <row r="58" spans="1:36" ht="15.75" customHeight="1" thickBot="1" x14ac:dyDescent="0.35">
      <c r="A58" s="61"/>
      <c r="B58" s="151" t="s">
        <v>122</v>
      </c>
      <c r="C58" s="88"/>
      <c r="D58" s="152" t="s">
        <v>123</v>
      </c>
      <c r="E58" s="152" t="s">
        <v>120</v>
      </c>
      <c r="F58" s="88" t="s">
        <v>121</v>
      </c>
      <c r="G58" s="88"/>
      <c r="H58" s="88"/>
      <c r="I58" s="88" t="s">
        <v>129</v>
      </c>
      <c r="J58" s="88"/>
      <c r="K58" s="88" t="s">
        <v>130</v>
      </c>
      <c r="L58" s="197"/>
      <c r="M58" s="129"/>
      <c r="U58" s="130"/>
      <c r="X58" s="54" t="str">
        <f>VLOOKUP($X57,名前2!$A$5:$B$8,2,0)</f>
        <v>車種区分②</v>
      </c>
      <c r="AJ58" s="115"/>
    </row>
    <row r="59" spans="1:36" x14ac:dyDescent="0.3">
      <c r="A59" s="61"/>
      <c r="L59" s="66"/>
      <c r="M59" s="129"/>
      <c r="U59" s="130"/>
      <c r="W59" s="54" t="s">
        <v>165</v>
      </c>
      <c r="AJ59" s="115"/>
    </row>
    <row r="60" spans="1:36" x14ac:dyDescent="0.3">
      <c r="A60" s="61"/>
      <c r="L60" s="66"/>
      <c r="M60" s="129"/>
      <c r="U60" s="130"/>
      <c r="W60" s="54" t="s">
        <v>166</v>
      </c>
      <c r="X60" s="54" t="s">
        <v>138</v>
      </c>
      <c r="AJ60" s="115"/>
    </row>
    <row r="61" spans="1:36" x14ac:dyDescent="0.3">
      <c r="A61" s="61"/>
      <c r="L61" s="66"/>
      <c r="M61" s="129"/>
      <c r="U61" s="130"/>
      <c r="X61" s="54" t="str">
        <f>VLOOKUP($X60,名前2!$A$5:$B$8,2,0)</f>
        <v>車種区分③</v>
      </c>
      <c r="AJ61" s="115"/>
    </row>
    <row r="62" spans="1:36" x14ac:dyDescent="0.3">
      <c r="A62" s="61"/>
      <c r="L62" s="61"/>
      <c r="M62" s="129"/>
      <c r="U62" s="130"/>
      <c r="AJ62" s="115"/>
    </row>
    <row r="63" spans="1:36" x14ac:dyDescent="0.3">
      <c r="A63" s="61"/>
      <c r="L63" s="61"/>
      <c r="M63" s="129"/>
      <c r="U63" s="130"/>
      <c r="Z63" s="114"/>
      <c r="AJ63" s="115"/>
    </row>
    <row r="64" spans="1:36" x14ac:dyDescent="0.3">
      <c r="A64" s="61"/>
      <c r="B64" s="51" t="s">
        <v>96</v>
      </c>
      <c r="L64" s="61"/>
      <c r="M64" s="129"/>
      <c r="U64" s="130"/>
      <c r="AJ64" s="115"/>
    </row>
    <row r="65" spans="1:36" x14ac:dyDescent="0.3">
      <c r="A65" s="61"/>
      <c r="L65" s="61"/>
      <c r="M65" s="129"/>
      <c r="U65" s="130"/>
      <c r="AJ65" s="115"/>
    </row>
    <row r="66" spans="1:36" x14ac:dyDescent="0.3">
      <c r="A66" s="61"/>
      <c r="L66" s="61"/>
      <c r="M66" s="129"/>
      <c r="U66" s="130"/>
      <c r="AJ66" s="115"/>
    </row>
    <row r="67" spans="1:36" x14ac:dyDescent="0.3">
      <c r="A67" s="61"/>
      <c r="L67" s="61"/>
      <c r="M67" s="129"/>
      <c r="U67" s="130"/>
      <c r="AJ67" s="115"/>
    </row>
    <row r="68" spans="1:36" x14ac:dyDescent="0.3">
      <c r="A68" s="61"/>
      <c r="L68" s="61"/>
      <c r="M68" s="129"/>
      <c r="U68" s="130"/>
      <c r="AJ68" s="115"/>
    </row>
    <row r="69" spans="1:36" x14ac:dyDescent="0.3">
      <c r="A69" s="61"/>
      <c r="L69" s="61"/>
      <c r="M69" s="129"/>
      <c r="U69" s="130"/>
      <c r="AJ69" s="115"/>
    </row>
    <row r="70" spans="1:36" x14ac:dyDescent="0.3">
      <c r="A70" s="61"/>
      <c r="L70" s="61"/>
      <c r="M70" s="129"/>
      <c r="U70" s="130"/>
      <c r="AJ70" s="115"/>
    </row>
    <row r="71" spans="1:36" x14ac:dyDescent="0.3">
      <c r="A71" s="61"/>
      <c r="L71" s="61"/>
      <c r="M71" s="129"/>
      <c r="U71" s="130"/>
      <c r="Z71" s="114"/>
      <c r="AJ71" s="115"/>
    </row>
    <row r="72" spans="1:36" x14ac:dyDescent="0.3">
      <c r="A72" s="61"/>
      <c r="L72" s="61"/>
      <c r="M72" s="129"/>
      <c r="U72" s="130"/>
      <c r="AJ72" s="115"/>
    </row>
    <row r="73" spans="1:36" x14ac:dyDescent="0.3">
      <c r="A73" s="61"/>
      <c r="L73" s="61"/>
      <c r="M73" s="129"/>
      <c r="U73" s="130"/>
      <c r="AJ73" s="115"/>
    </row>
    <row r="74" spans="1:36" x14ac:dyDescent="0.3">
      <c r="A74" s="61"/>
      <c r="L74" s="61"/>
      <c r="M74" s="129"/>
      <c r="U74" s="130"/>
      <c r="AJ74" s="115"/>
    </row>
    <row r="75" spans="1:36" x14ac:dyDescent="0.3">
      <c r="L75" s="61"/>
      <c r="M75" s="129"/>
      <c r="U75" s="130"/>
      <c r="AJ75" s="115"/>
    </row>
    <row r="76" spans="1:36" x14ac:dyDescent="0.3">
      <c r="L76" s="61"/>
      <c r="M76" s="129"/>
      <c r="U76" s="130"/>
      <c r="AJ76" s="115"/>
    </row>
    <row r="77" spans="1:36" x14ac:dyDescent="0.3">
      <c r="L77" s="61"/>
      <c r="M77" s="129"/>
      <c r="U77" s="130"/>
      <c r="AJ77" s="115"/>
    </row>
    <row r="78" spans="1:36" x14ac:dyDescent="0.3">
      <c r="L78" s="61"/>
      <c r="M78" s="129"/>
      <c r="U78" s="130"/>
      <c r="AJ78" s="115"/>
    </row>
    <row r="79" spans="1:36" x14ac:dyDescent="0.3">
      <c r="L79" s="61"/>
      <c r="M79" s="129"/>
      <c r="U79" s="130"/>
      <c r="Z79" s="114"/>
      <c r="AJ79" s="115"/>
    </row>
    <row r="80" spans="1:36" x14ac:dyDescent="0.3">
      <c r="L80" s="61"/>
      <c r="M80" s="129"/>
      <c r="U80" s="130"/>
      <c r="AJ80" s="115"/>
    </row>
    <row r="81" spans="12:36" x14ac:dyDescent="0.3">
      <c r="L81" s="61"/>
      <c r="M81" s="129"/>
      <c r="U81" s="130"/>
      <c r="AJ81" s="115"/>
    </row>
    <row r="82" spans="12:36" x14ac:dyDescent="0.3">
      <c r="L82" s="61"/>
      <c r="M82" s="129"/>
      <c r="U82" s="130"/>
      <c r="AJ82" s="115"/>
    </row>
    <row r="83" spans="12:36" x14ac:dyDescent="0.3">
      <c r="L83" s="61"/>
      <c r="M83" s="129"/>
      <c r="U83" s="130"/>
      <c r="AJ83" s="115"/>
    </row>
    <row r="84" spans="12:36" x14ac:dyDescent="0.3">
      <c r="L84" s="61"/>
      <c r="M84" s="129"/>
      <c r="U84" s="130"/>
      <c r="AJ84" s="115"/>
    </row>
    <row r="85" spans="12:36" x14ac:dyDescent="0.3">
      <c r="L85" s="61"/>
      <c r="M85" s="129"/>
      <c r="U85" s="130"/>
      <c r="AJ85" s="115"/>
    </row>
    <row r="86" spans="12:36" x14ac:dyDescent="0.3">
      <c r="L86" s="61"/>
      <c r="M86" s="129"/>
      <c r="U86" s="130"/>
      <c r="V86" s="117"/>
      <c r="W86" s="117"/>
      <c r="X86" s="117"/>
      <c r="Y86" s="117"/>
      <c r="Z86" s="117"/>
      <c r="AA86" s="117"/>
      <c r="AB86" s="117"/>
      <c r="AC86" s="117"/>
      <c r="AD86" s="117"/>
      <c r="AE86" s="117"/>
      <c r="AF86" s="117"/>
      <c r="AG86" s="117"/>
      <c r="AH86" s="117"/>
      <c r="AI86" s="117"/>
      <c r="AJ86" s="118"/>
    </row>
    <row r="87" spans="12:36" x14ac:dyDescent="0.3">
      <c r="L87" s="61"/>
      <c r="M87" s="129"/>
      <c r="U87" s="130"/>
    </row>
    <row r="88" spans="12:36" x14ac:dyDescent="0.3">
      <c r="L88" s="61"/>
      <c r="M88" s="129"/>
      <c r="U88" s="130"/>
    </row>
    <row r="89" spans="12:36" x14ac:dyDescent="0.3">
      <c r="L89" s="61"/>
      <c r="M89" s="129"/>
      <c r="U89" s="130"/>
    </row>
    <row r="90" spans="12:36" x14ac:dyDescent="0.3">
      <c r="L90" s="61"/>
      <c r="M90" s="129"/>
      <c r="U90" s="130"/>
    </row>
    <row r="91" spans="12:36" x14ac:dyDescent="0.3">
      <c r="L91" s="61"/>
      <c r="M91" s="129"/>
      <c r="U91" s="130"/>
      <c r="W91" s="57"/>
      <c r="X91" s="51"/>
      <c r="Y91" s="51"/>
      <c r="Z91" s="51"/>
      <c r="AA91" s="51"/>
      <c r="AB91" s="51"/>
      <c r="AC91" s="51"/>
      <c r="AD91" s="51"/>
      <c r="AE91" s="51"/>
      <c r="AF91" s="51"/>
      <c r="AG91" s="51"/>
      <c r="AH91" s="51"/>
      <c r="AI91" s="51"/>
      <c r="AJ91" s="51"/>
    </row>
    <row r="92" spans="12:36" x14ac:dyDescent="0.3">
      <c r="L92" s="125"/>
      <c r="M92" s="129"/>
      <c r="U92" s="130"/>
      <c r="V92" s="57"/>
      <c r="W92" s="57"/>
      <c r="X92" s="51"/>
      <c r="Y92" s="51"/>
      <c r="Z92" s="51"/>
      <c r="AA92" s="51"/>
      <c r="AB92" s="51"/>
      <c r="AC92" s="51"/>
      <c r="AD92" s="51"/>
      <c r="AE92" s="51"/>
      <c r="AF92" s="51"/>
      <c r="AG92" s="51"/>
      <c r="AH92" s="51"/>
      <c r="AI92" s="51"/>
      <c r="AJ92" s="51"/>
    </row>
    <row r="93" spans="12:36" x14ac:dyDescent="0.3">
      <c r="L93" s="61"/>
      <c r="M93" s="129"/>
      <c r="U93" s="130"/>
      <c r="V93" s="57"/>
      <c r="W93" s="57"/>
      <c r="X93" s="51"/>
      <c r="Y93" s="51"/>
      <c r="Z93" s="51"/>
      <c r="AA93" s="51"/>
      <c r="AB93" s="51"/>
      <c r="AC93" s="51"/>
      <c r="AD93" s="51"/>
      <c r="AE93" s="51"/>
      <c r="AF93" s="51"/>
      <c r="AG93" s="51"/>
      <c r="AH93" s="51"/>
      <c r="AI93" s="51"/>
      <c r="AJ93" s="51"/>
    </row>
    <row r="94" spans="12:36" x14ac:dyDescent="0.3">
      <c r="L94" s="61"/>
      <c r="M94" s="129"/>
      <c r="U94" s="130"/>
      <c r="V94" s="57"/>
      <c r="W94" s="57"/>
      <c r="X94" s="51"/>
      <c r="Y94" s="51"/>
      <c r="Z94" s="51"/>
      <c r="AA94" s="51"/>
      <c r="AB94" s="51"/>
      <c r="AC94" s="51"/>
      <c r="AD94" s="51"/>
      <c r="AE94" s="51"/>
      <c r="AF94" s="51"/>
      <c r="AG94" s="51"/>
      <c r="AH94" s="51"/>
      <c r="AI94" s="51"/>
      <c r="AJ94" s="51"/>
    </row>
    <row r="95" spans="12:36" x14ac:dyDescent="0.3">
      <c r="L95" s="61"/>
      <c r="M95" s="129"/>
      <c r="U95" s="130"/>
      <c r="V95" s="57"/>
      <c r="W95" s="57"/>
      <c r="X95" s="51"/>
      <c r="Y95" s="51"/>
      <c r="Z95" s="51"/>
      <c r="AA95" s="51"/>
      <c r="AB95" s="51"/>
      <c r="AC95" s="51"/>
      <c r="AD95" s="51"/>
      <c r="AE95" s="51"/>
      <c r="AF95" s="51"/>
      <c r="AG95" s="51"/>
      <c r="AH95" s="51"/>
      <c r="AI95" s="51"/>
      <c r="AJ95" s="51"/>
    </row>
    <row r="96" spans="12:36" x14ac:dyDescent="0.3">
      <c r="L96" s="61"/>
      <c r="M96" s="129"/>
      <c r="U96" s="130"/>
      <c r="V96" s="57"/>
      <c r="W96" s="57"/>
      <c r="X96" s="51"/>
      <c r="Y96" s="51"/>
      <c r="Z96" s="51"/>
      <c r="AA96" s="51"/>
      <c r="AB96" s="51"/>
      <c r="AC96" s="51"/>
      <c r="AD96" s="51"/>
      <c r="AE96" s="51"/>
      <c r="AF96" s="51"/>
      <c r="AG96" s="51"/>
      <c r="AH96" s="51"/>
      <c r="AI96" s="51"/>
      <c r="AJ96" s="51"/>
    </row>
    <row r="97" spans="12:36" x14ac:dyDescent="0.3">
      <c r="L97" s="61"/>
      <c r="M97" s="129"/>
      <c r="U97" s="130"/>
      <c r="V97" s="57"/>
      <c r="W97" s="57"/>
      <c r="X97" s="51"/>
      <c r="Y97" s="51"/>
      <c r="Z97" s="51"/>
      <c r="AA97" s="51"/>
      <c r="AB97" s="51"/>
      <c r="AC97" s="51"/>
      <c r="AD97" s="51"/>
      <c r="AE97" s="51"/>
      <c r="AF97" s="51"/>
      <c r="AG97" s="51"/>
      <c r="AH97" s="51"/>
      <c r="AI97" s="51"/>
      <c r="AJ97" s="51"/>
    </row>
    <row r="98" spans="12:36" x14ac:dyDescent="0.3">
      <c r="L98" s="61"/>
      <c r="M98" s="129"/>
      <c r="U98" s="130"/>
      <c r="V98" s="57"/>
      <c r="W98" s="57"/>
      <c r="X98" s="51"/>
      <c r="Y98" s="51"/>
      <c r="Z98" s="51"/>
      <c r="AA98" s="51"/>
      <c r="AB98" s="51"/>
      <c r="AC98" s="51"/>
      <c r="AD98" s="51"/>
      <c r="AE98" s="51"/>
      <c r="AF98" s="51"/>
      <c r="AG98" s="51"/>
      <c r="AH98" s="51"/>
      <c r="AI98" s="51"/>
      <c r="AJ98" s="51"/>
    </row>
    <row r="99" spans="12:36" ht="15.6" thickBot="1" x14ac:dyDescent="0.35">
      <c r="L99" s="61"/>
      <c r="M99" s="133"/>
      <c r="N99" s="134"/>
      <c r="O99" s="134"/>
      <c r="P99" s="134"/>
      <c r="Q99" s="134"/>
      <c r="R99" s="134"/>
      <c r="S99" s="134"/>
      <c r="T99" s="134"/>
      <c r="U99" s="135"/>
      <c r="V99" s="57"/>
      <c r="W99" s="57"/>
      <c r="X99" s="51"/>
      <c r="Y99" s="51"/>
      <c r="Z99" s="51"/>
      <c r="AA99" s="51"/>
      <c r="AB99" s="51"/>
      <c r="AC99" s="51"/>
      <c r="AD99" s="51"/>
      <c r="AE99" s="51"/>
      <c r="AF99" s="51"/>
      <c r="AG99" s="51"/>
      <c r="AH99" s="51"/>
      <c r="AI99" s="51"/>
      <c r="AJ99" s="51"/>
    </row>
    <row r="100" spans="12:36" ht="15.6" thickTop="1" x14ac:dyDescent="0.3">
      <c r="V100" s="57"/>
      <c r="W100" s="57"/>
      <c r="X100" s="51"/>
      <c r="Y100" s="51"/>
      <c r="Z100" s="51"/>
      <c r="AA100" s="51"/>
      <c r="AB100" s="51"/>
      <c r="AC100" s="51"/>
      <c r="AD100" s="51"/>
      <c r="AE100" s="51"/>
      <c r="AF100" s="51"/>
      <c r="AG100" s="51"/>
      <c r="AH100" s="51"/>
      <c r="AI100" s="51"/>
      <c r="AJ100" s="51"/>
    </row>
    <row r="101" spans="12:36" x14ac:dyDescent="0.3">
      <c r="V101" s="57"/>
      <c r="W101" s="57"/>
      <c r="X101" s="51"/>
      <c r="Y101" s="51"/>
      <c r="Z101" s="51"/>
      <c r="AA101" s="51"/>
      <c r="AB101" s="51"/>
      <c r="AC101" s="51"/>
      <c r="AD101" s="51"/>
      <c r="AE101" s="51"/>
      <c r="AF101" s="51"/>
      <c r="AG101" s="51"/>
      <c r="AH101" s="51"/>
      <c r="AI101" s="51"/>
      <c r="AJ101" s="51"/>
    </row>
    <row r="102" spans="12:36" x14ac:dyDescent="0.3">
      <c r="V102" s="57"/>
      <c r="W102" s="57"/>
      <c r="X102" s="51"/>
      <c r="Y102" s="51"/>
      <c r="Z102" s="51"/>
      <c r="AA102" s="51"/>
      <c r="AB102" s="51"/>
      <c r="AC102" s="51"/>
      <c r="AD102" s="51"/>
      <c r="AE102" s="51"/>
      <c r="AF102" s="51"/>
      <c r="AG102" s="51"/>
      <c r="AH102" s="51"/>
      <c r="AI102" s="51"/>
      <c r="AJ102" s="51"/>
    </row>
    <row r="103" spans="12:36" x14ac:dyDescent="0.3">
      <c r="V103" s="57"/>
      <c r="W103" s="57"/>
      <c r="X103" s="51"/>
      <c r="Y103" s="51"/>
      <c r="Z103" s="51"/>
      <c r="AA103" s="51"/>
      <c r="AB103" s="51"/>
      <c r="AC103" s="51"/>
      <c r="AD103" s="51"/>
      <c r="AE103" s="51"/>
      <c r="AF103" s="51"/>
      <c r="AG103" s="51"/>
      <c r="AH103" s="51"/>
      <c r="AI103" s="51"/>
      <c r="AJ103" s="51"/>
    </row>
    <row r="104" spans="12:36" x14ac:dyDescent="0.3">
      <c r="V104" s="57"/>
      <c r="W104" s="57"/>
      <c r="X104" s="51"/>
      <c r="Y104" s="51"/>
      <c r="Z104" s="51"/>
      <c r="AA104" s="51"/>
      <c r="AB104" s="51"/>
      <c r="AC104" s="51"/>
      <c r="AD104" s="51"/>
      <c r="AE104" s="51"/>
      <c r="AF104" s="51"/>
      <c r="AG104" s="51"/>
      <c r="AH104" s="51"/>
      <c r="AI104" s="51"/>
      <c r="AJ104" s="51"/>
    </row>
    <row r="105" spans="12:36" x14ac:dyDescent="0.3">
      <c r="V105" s="57"/>
      <c r="W105" s="57"/>
      <c r="X105" s="51"/>
      <c r="Y105" s="51"/>
      <c r="Z105" s="51"/>
      <c r="AA105" s="51"/>
      <c r="AB105" s="51"/>
      <c r="AC105" s="51"/>
      <c r="AD105" s="51"/>
      <c r="AE105" s="51"/>
      <c r="AF105" s="51"/>
      <c r="AG105" s="51"/>
      <c r="AH105" s="51"/>
      <c r="AI105" s="51"/>
      <c r="AJ105" s="51"/>
    </row>
    <row r="106" spans="12:36" x14ac:dyDescent="0.3">
      <c r="V106" s="57"/>
      <c r="W106" s="57"/>
      <c r="X106" s="51"/>
      <c r="Y106" s="51"/>
      <c r="Z106" s="51"/>
      <c r="AA106" s="51"/>
      <c r="AB106" s="51"/>
      <c r="AC106" s="51"/>
      <c r="AD106" s="51"/>
      <c r="AE106" s="51"/>
      <c r="AF106" s="51"/>
      <c r="AG106" s="51"/>
      <c r="AH106" s="51"/>
      <c r="AI106" s="51"/>
      <c r="AJ106" s="51"/>
    </row>
    <row r="107" spans="12:36" x14ac:dyDescent="0.3">
      <c r="V107" s="57"/>
      <c r="W107" s="57"/>
      <c r="X107" s="51"/>
      <c r="Y107" s="51"/>
      <c r="Z107" s="51"/>
      <c r="AA107" s="51"/>
      <c r="AB107" s="51"/>
      <c r="AC107" s="51"/>
      <c r="AD107" s="51"/>
      <c r="AE107" s="51"/>
      <c r="AF107" s="51"/>
      <c r="AG107" s="51"/>
      <c r="AH107" s="51"/>
      <c r="AI107" s="51"/>
      <c r="AJ107" s="51"/>
    </row>
    <row r="108" spans="12:36" x14ac:dyDescent="0.3">
      <c r="V108" s="57"/>
      <c r="W108" s="57"/>
      <c r="X108" s="51"/>
      <c r="Y108" s="51"/>
      <c r="Z108" s="51"/>
      <c r="AA108" s="51"/>
      <c r="AB108" s="51"/>
      <c r="AC108" s="51"/>
      <c r="AD108" s="51"/>
      <c r="AE108" s="51"/>
      <c r="AF108" s="51"/>
      <c r="AG108" s="51"/>
      <c r="AH108" s="51"/>
      <c r="AI108" s="51"/>
      <c r="AJ108" s="51"/>
    </row>
    <row r="109" spans="12:36" x14ac:dyDescent="0.3">
      <c r="V109" s="57"/>
      <c r="W109" s="57"/>
      <c r="X109" s="51"/>
      <c r="Y109" s="51"/>
      <c r="Z109" s="51"/>
      <c r="AA109" s="51"/>
      <c r="AB109" s="51"/>
      <c r="AC109" s="51"/>
      <c r="AD109" s="51"/>
      <c r="AE109" s="51"/>
      <c r="AF109" s="51"/>
      <c r="AG109" s="51"/>
      <c r="AH109" s="51"/>
      <c r="AI109" s="51"/>
      <c r="AJ109" s="51"/>
    </row>
    <row r="110" spans="12:36" x14ac:dyDescent="0.3">
      <c r="V110" s="57"/>
      <c r="W110" s="57"/>
      <c r="X110" s="51"/>
      <c r="Y110" s="51"/>
      <c r="Z110" s="51"/>
      <c r="AA110" s="51"/>
      <c r="AB110" s="51"/>
      <c r="AC110" s="51"/>
      <c r="AD110" s="51"/>
      <c r="AE110" s="51"/>
      <c r="AF110" s="51"/>
      <c r="AG110" s="51"/>
      <c r="AH110" s="51"/>
      <c r="AI110" s="51"/>
      <c r="AJ110" s="51"/>
    </row>
    <row r="119" spans="22:36" x14ac:dyDescent="0.3">
      <c r="V119" s="57"/>
      <c r="W119" s="57"/>
      <c r="X119" s="57"/>
      <c r="Y119" s="58"/>
      <c r="Z119" s="58"/>
      <c r="AA119" s="58"/>
      <c r="AB119" s="58"/>
      <c r="AC119" s="58"/>
      <c r="AD119" s="58"/>
      <c r="AE119" s="58"/>
      <c r="AF119" s="58"/>
      <c r="AG119" s="58"/>
      <c r="AH119" s="58"/>
      <c r="AI119" s="58"/>
      <c r="AJ119" s="58"/>
    </row>
    <row r="120" spans="22:36" x14ac:dyDescent="0.3">
      <c r="V120" s="57"/>
      <c r="W120" s="57"/>
      <c r="X120" s="57"/>
      <c r="Y120" s="58"/>
      <c r="Z120" s="58"/>
      <c r="AA120" s="58"/>
      <c r="AB120" s="58"/>
      <c r="AC120" s="58"/>
      <c r="AD120" s="58"/>
      <c r="AE120" s="58"/>
      <c r="AF120" s="58"/>
      <c r="AG120" s="58"/>
      <c r="AH120" s="58"/>
      <c r="AI120" s="58"/>
      <c r="AJ120" s="58"/>
    </row>
    <row r="121" spans="22:36" x14ac:dyDescent="0.3">
      <c r="V121" s="57"/>
      <c r="W121" s="57"/>
      <c r="X121" s="57"/>
      <c r="Y121" s="58"/>
      <c r="Z121" s="58"/>
      <c r="AA121" s="58"/>
      <c r="AB121" s="58"/>
      <c r="AC121" s="58"/>
      <c r="AD121" s="58"/>
      <c r="AE121" s="58"/>
      <c r="AF121" s="58"/>
      <c r="AG121" s="58"/>
      <c r="AH121" s="58"/>
      <c r="AI121" s="58"/>
      <c r="AJ121" s="58"/>
    </row>
    <row r="122" spans="22:36" x14ac:dyDescent="0.3">
      <c r="V122" s="57"/>
      <c r="W122" s="57"/>
      <c r="X122" s="57"/>
      <c r="Y122" s="58"/>
      <c r="Z122" s="58"/>
      <c r="AA122" s="58"/>
      <c r="AB122" s="58"/>
      <c r="AC122" s="58"/>
      <c r="AD122" s="58"/>
      <c r="AE122" s="58"/>
      <c r="AF122" s="58"/>
      <c r="AG122" s="58"/>
      <c r="AH122" s="58"/>
      <c r="AI122" s="58"/>
      <c r="AJ122" s="58"/>
    </row>
    <row r="123" spans="22:36" x14ac:dyDescent="0.3">
      <c r="V123" s="57"/>
      <c r="W123" s="57"/>
      <c r="X123" s="57"/>
      <c r="Y123" s="58"/>
      <c r="Z123" s="58"/>
      <c r="AA123" s="58"/>
      <c r="AB123" s="58"/>
      <c r="AC123" s="58"/>
      <c r="AD123" s="58"/>
      <c r="AE123" s="58"/>
      <c r="AF123" s="58"/>
      <c r="AG123" s="58"/>
      <c r="AH123" s="58"/>
      <c r="AI123" s="58"/>
      <c r="AJ123" s="58"/>
    </row>
    <row r="124" spans="22:36" x14ac:dyDescent="0.3">
      <c r="V124" s="57"/>
      <c r="W124" s="57"/>
      <c r="X124" s="57"/>
      <c r="Y124" s="58"/>
      <c r="Z124" s="58"/>
      <c r="AA124" s="58"/>
      <c r="AB124" s="58"/>
      <c r="AC124" s="58"/>
      <c r="AD124" s="58"/>
      <c r="AE124" s="58"/>
      <c r="AF124" s="58"/>
      <c r="AG124" s="58"/>
      <c r="AH124" s="58"/>
      <c r="AI124" s="58"/>
      <c r="AJ124" s="58"/>
    </row>
    <row r="127" spans="22:36" x14ac:dyDescent="0.3">
      <c r="W127" s="57"/>
      <c r="X127" s="57"/>
    </row>
    <row r="128" spans="22:36" x14ac:dyDescent="0.3">
      <c r="V128" s="57"/>
      <c r="W128" s="57"/>
      <c r="X128" s="57"/>
    </row>
    <row r="129" spans="22:25" x14ac:dyDescent="0.3">
      <c r="V129" s="57"/>
      <c r="W129" s="57"/>
      <c r="X129" s="57"/>
    </row>
    <row r="130" spans="22:25" x14ac:dyDescent="0.3">
      <c r="V130" s="57"/>
      <c r="W130" s="57"/>
      <c r="X130" s="57"/>
    </row>
    <row r="131" spans="22:25" x14ac:dyDescent="0.3">
      <c r="V131" s="57"/>
      <c r="W131" s="57"/>
      <c r="X131" s="57"/>
    </row>
    <row r="132" spans="22:25" x14ac:dyDescent="0.3">
      <c r="V132" s="57"/>
      <c r="W132" s="57"/>
      <c r="X132" s="57"/>
    </row>
    <row r="133" spans="22:25" x14ac:dyDescent="0.3">
      <c r="V133" s="57"/>
      <c r="W133" s="57"/>
      <c r="X133" s="57"/>
    </row>
    <row r="134" spans="22:25" x14ac:dyDescent="0.3">
      <c r="V134" s="57"/>
      <c r="W134" s="57"/>
      <c r="X134" s="57"/>
    </row>
    <row r="135" spans="22:25" x14ac:dyDescent="0.3">
      <c r="V135" s="57"/>
      <c r="W135" s="57"/>
      <c r="X135" s="56"/>
    </row>
    <row r="136" spans="22:25" x14ac:dyDescent="0.3">
      <c r="V136" s="57" t="e">
        <f>IF($X136&lt;&gt;"",MAX(V$127:V135)+1,"")</f>
        <v>#REF!</v>
      </c>
      <c r="W136" s="57" t="s">
        <v>28</v>
      </c>
      <c r="X136" s="57" t="e">
        <f>IF(手引き!#REF!="○","時から運送を終わるまでの時間による。","")</f>
        <v>#REF!</v>
      </c>
    </row>
    <row r="137" spans="22:25" x14ac:dyDescent="0.3">
      <c r="V137" s="57" t="e">
        <f>IF($X137&lt;&gt;"",MAX(V$127:V136)+1,"")</f>
        <v>#REF!</v>
      </c>
      <c r="W137" s="57" t="e">
        <f>IF(X137="","","・")</f>
        <v>#REF!</v>
      </c>
      <c r="X137" s="56" t="e">
        <f>IF(手引き!#REF!="○","時間制運賃は"&amp;手引き!#REF!&amp;"分単位とし、"&amp;手引き!#REF!&amp;"分未満の端数が生じた場合は、切り上げるものとする。","")</f>
        <v>#REF!</v>
      </c>
    </row>
    <row r="138" spans="22:25" x14ac:dyDescent="0.3">
      <c r="V138" s="57" t="e">
        <f>IF($X138&lt;&gt;"",MAX(V$127:V137)+1,"")</f>
        <v>#REF!</v>
      </c>
      <c r="W138" s="57" t="e">
        <f>IF(X138="","","・")</f>
        <v>#REF!</v>
      </c>
      <c r="X138" s="56" t="e">
        <f>IF(手引き!#REF!="○","時間制による契約の場合は、メーター器にカバーを用い前面に「貸切」の表示をする。",IF(手引き!#REF!="○","定額運賃による契約の場合は、メーター器にカバーを用い前面に「定額」の表示をする。",""))</f>
        <v>#REF!</v>
      </c>
    </row>
    <row r="139" spans="22:25" x14ac:dyDescent="0.3">
      <c r="V139" s="57" t="str">
        <f>IF($X139&lt;&gt;"",MAX(V$127:V138)+1,"")</f>
        <v/>
      </c>
      <c r="W139" s="57" t="s">
        <v>28</v>
      </c>
      <c r="X139" s="57"/>
    </row>
    <row r="140" spans="22:25" x14ac:dyDescent="0.3">
      <c r="V140" s="57" t="str">
        <f>IF($X140&lt;&gt;"",MAX(V$127:V139)+1,"")</f>
        <v/>
      </c>
    </row>
    <row r="141" spans="22:25" x14ac:dyDescent="0.3">
      <c r="Y141" s="53"/>
    </row>
    <row r="142" spans="22:25" x14ac:dyDescent="0.3">
      <c r="Y142" s="53"/>
    </row>
    <row r="143" spans="22:25" x14ac:dyDescent="0.3">
      <c r="Y143" s="55"/>
    </row>
    <row r="145" spans="25:25" x14ac:dyDescent="0.3">
      <c r="Y145" s="53"/>
    </row>
    <row r="146" spans="25:25" x14ac:dyDescent="0.3">
      <c r="Y146" s="53"/>
    </row>
    <row r="147" spans="25:25" x14ac:dyDescent="0.3">
      <c r="Y147" s="53"/>
    </row>
    <row r="148" spans="25:25" x14ac:dyDescent="0.3">
      <c r="Y148" s="53"/>
    </row>
    <row r="149" spans="25:25" x14ac:dyDescent="0.3">
      <c r="Y149" s="55"/>
    </row>
  </sheetData>
  <sheetProtection algorithmName="SHA-512" hashValue="dufYWttdtXY74nGxd6/2bzEuEF+Pqr+3Weix244eAbj+xSxdfjx3A5MUf24uKGHAGvxfkEhXei3t47kbcZdORQ==" saltValue="tQe7PpXtXx0Db3VCKz0+hw==" spinCount="100000" sheet="1" formatCells="0" formatColumns="0" formatRows="0" insertColumns="0" insertRows="0" insertHyperlinks="0" deleteColumns="0" deleteRows="0" sort="0" autoFilter="0" pivotTables="0"/>
  <mergeCells count="35">
    <mergeCell ref="I42:K42"/>
    <mergeCell ref="I26:K26"/>
    <mergeCell ref="I22:K22"/>
    <mergeCell ref="D9:K9"/>
    <mergeCell ref="E20:K20"/>
    <mergeCell ref="B42:H42"/>
    <mergeCell ref="I29:K29"/>
    <mergeCell ref="B13:C13"/>
    <mergeCell ref="B33:H33"/>
    <mergeCell ref="I33:K33"/>
    <mergeCell ref="B9:C9"/>
    <mergeCell ref="B14:C14"/>
    <mergeCell ref="B15:C15"/>
    <mergeCell ref="B20:D20"/>
    <mergeCell ref="B22:H22"/>
    <mergeCell ref="B10:C10"/>
    <mergeCell ref="B43:C43"/>
    <mergeCell ref="B45:C45"/>
    <mergeCell ref="B44:C44"/>
    <mergeCell ref="D43:J43"/>
    <mergeCell ref="D44:J44"/>
    <mergeCell ref="D45:J45"/>
    <mergeCell ref="P25:S25"/>
    <mergeCell ref="B1:K1"/>
    <mergeCell ref="B12:C12"/>
    <mergeCell ref="B11:C11"/>
    <mergeCell ref="I8:K8"/>
    <mergeCell ref="D10:K10"/>
    <mergeCell ref="D11:K11"/>
    <mergeCell ref="D12:K12"/>
    <mergeCell ref="D14:K14"/>
    <mergeCell ref="D13:K13"/>
    <mergeCell ref="D15:K15"/>
    <mergeCell ref="I17:K17"/>
    <mergeCell ref="I2:K2"/>
  </mergeCells>
  <phoneticPr fontId="1"/>
  <conditionalFormatting sqref="B43:C45">
    <cfRule type="cellIs" dxfId="29" priority="47" operator="equal">
      <formula>""</formula>
    </cfRule>
  </conditionalFormatting>
  <conditionalFormatting sqref="C18:C19">
    <cfRule type="expression" dxfId="28" priority="49">
      <formula>$C$18="○"</formula>
    </cfRule>
    <cfRule type="expression" dxfId="27" priority="50">
      <formula>$C$19="○"</formula>
    </cfRule>
  </conditionalFormatting>
  <conditionalFormatting sqref="C23:C24">
    <cfRule type="expression" dxfId="26" priority="53">
      <formula>$C$24="○"</formula>
    </cfRule>
    <cfRule type="expression" dxfId="25" priority="54">
      <formula>$C$23="○"</formula>
    </cfRule>
  </conditionalFormatting>
  <conditionalFormatting sqref="C27">
    <cfRule type="expression" dxfId="24" priority="157">
      <formula>COUNTIF($C$27:$C$27,"○")=1</formula>
    </cfRule>
  </conditionalFormatting>
  <conditionalFormatting sqref="C34:C36">
    <cfRule type="expression" dxfId="23" priority="57">
      <formula>$C$24="○"</formula>
    </cfRule>
  </conditionalFormatting>
  <conditionalFormatting sqref="C34:C40">
    <cfRule type="expression" dxfId="22" priority="90">
      <formula>COUNTIF($C$34:$C$40,"○")=1</formula>
    </cfRule>
  </conditionalFormatting>
  <conditionalFormatting sqref="D9:K13">
    <cfRule type="cellIs" dxfId="21" priority="45" operator="equal">
      <formula>""</formula>
    </cfRule>
  </conditionalFormatting>
  <conditionalFormatting sqref="D14:K15">
    <cfRule type="containsBlanks" dxfId="20" priority="1">
      <formula>LEN(TRIM(D14))=0</formula>
    </cfRule>
  </conditionalFormatting>
  <conditionalFormatting sqref="E20:K20">
    <cfRule type="expression" dxfId="19" priority="20">
      <formula>$E$20&lt;&gt;""</formula>
    </cfRule>
    <cfRule type="expression" dxfId="18" priority="94">
      <formula>$C$19="○"</formula>
    </cfRule>
  </conditionalFormatting>
  <conditionalFormatting sqref="F36">
    <cfRule type="expression" dxfId="17" priority="4">
      <formula>$E$36=""</formula>
    </cfRule>
    <cfRule type="expression" dxfId="16" priority="19">
      <formula>$P$35=0</formula>
    </cfRule>
  </conditionalFormatting>
  <conditionalFormatting sqref="F36:F38">
    <cfRule type="expression" dxfId="15" priority="36">
      <formula>F36&gt;0</formula>
    </cfRule>
    <cfRule type="expression" dxfId="14" priority="37">
      <formula>$C$35="○"</formula>
    </cfRule>
  </conditionalFormatting>
  <conditionalFormatting sqref="F37">
    <cfRule type="expression" dxfId="13" priority="3">
      <formula>$E$37=""</formula>
    </cfRule>
    <cfRule type="expression" dxfId="12" priority="18">
      <formula>$Q$35=0</formula>
    </cfRule>
  </conditionalFormatting>
  <conditionalFormatting sqref="F38">
    <cfRule type="expression" dxfId="11" priority="2">
      <formula>$E$38=""</formula>
    </cfRule>
    <cfRule type="expression" dxfId="10" priority="17">
      <formula>$R$35=0</formula>
    </cfRule>
  </conditionalFormatting>
  <conditionalFormatting sqref="I8:K8">
    <cfRule type="cellIs" dxfId="9" priority="99" operator="equal">
      <formula>"入力内容を確認してください"</formula>
    </cfRule>
  </conditionalFormatting>
  <conditionalFormatting sqref="I17:K17">
    <cfRule type="cellIs" dxfId="8" priority="100" operator="equal">
      <formula>"入力内容を確認してください"</formula>
    </cfRule>
  </conditionalFormatting>
  <conditionalFormatting sqref="I22:K22">
    <cfRule type="cellIs" dxfId="7" priority="101" operator="equal">
      <formula>"入力内容を確認してください"</formula>
    </cfRule>
  </conditionalFormatting>
  <conditionalFormatting sqref="I26:K26 L59:L61">
    <cfRule type="cellIs" dxfId="6" priority="102" operator="equal">
      <formula>"入力内容を確認してください"</formula>
    </cfRule>
  </conditionalFormatting>
  <conditionalFormatting sqref="I29:K29">
    <cfRule type="cellIs" dxfId="5" priority="89" operator="equal">
      <formula>"入力内容を確認してください"</formula>
    </cfRule>
  </conditionalFormatting>
  <conditionalFormatting sqref="I33:K33">
    <cfRule type="cellIs" dxfId="4" priority="98" operator="equal">
      <formula>"入力内容を確認してください"</formula>
    </cfRule>
  </conditionalFormatting>
  <conditionalFormatting sqref="I42:K42">
    <cfRule type="cellIs" dxfId="3" priority="97" operator="equal">
      <formula>"入力内容を確認してください"</formula>
    </cfRule>
  </conditionalFormatting>
  <dataValidations count="3">
    <dataValidation allowBlank="1" showInputMessage="1" showErrorMessage="1" prompt="例）旅客からの要望のため 　　　消費税改正に対応するため" sqref="E20:K20" xr:uid="{00000000-0002-0000-0000-000000000000}"/>
    <dataValidation type="date" operator="greaterThanOrEqual" allowBlank="1" showInputMessage="1" showErrorMessage="1" sqref="D9:K9" xr:uid="{00000000-0002-0000-0000-000001000000}">
      <formula1>43922</formula1>
    </dataValidation>
    <dataValidation type="whole" operator="greaterThanOrEqual" allowBlank="1" showInputMessage="1" showErrorMessage="1" sqref="F36:F39" xr:uid="{00000000-0002-0000-0000-000002000000}">
      <formula1>0</formula1>
    </dataValidation>
  </dataValidations>
  <hyperlinks>
    <hyperlink ref="D51" location="申請書表紙!A1" display="申請書表紙!A1" xr:uid="{00000000-0004-0000-0000-000000000000}"/>
    <hyperlink ref="O12" location="名前2!A1" display="名前2!A1" xr:uid="{B3CD441A-902C-4370-9974-61275B274AA8}"/>
  </hyperlinks>
  <pageMargins left="0.7" right="0.7" top="0.75" bottom="0.75" header="0.3" footer="0.3"/>
  <pageSetup paperSize="9" scale="61" fitToHeight="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名前2!$A$1:$A$2</xm:f>
          </x14:formula1>
          <xm:sqref>B43:B45 C41</xm:sqref>
        </x14:dataValidation>
        <x14:dataValidation type="list" allowBlank="1" showInputMessage="1" showErrorMessage="1" xr:uid="{00000000-0002-0000-0000-000005000000}">
          <x14:formula1>
            <xm:f>名前2!$B$1:$B$2</xm:f>
          </x14:formula1>
          <xm:sqref>C23:C24 C40 C34:C36 C18:C19 C27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I51"/>
  <sheetViews>
    <sheetView view="pageBreakPreview" zoomScale="90" zoomScaleNormal="100" zoomScaleSheetLayoutView="90" workbookViewId="0"/>
  </sheetViews>
  <sheetFormatPr defaultColWidth="9" defaultRowHeight="13.2" x14ac:dyDescent="0.2"/>
  <cols>
    <col min="1" max="1" width="9" style="44" customWidth="1"/>
    <col min="2" max="2" width="12.21875" style="44" customWidth="1"/>
    <col min="3" max="4" width="9" style="44"/>
    <col min="5" max="5" width="20.109375" style="44" customWidth="1"/>
    <col min="6" max="8" width="9" style="44"/>
    <col min="9" max="9" width="8.33203125" style="44" customWidth="1"/>
    <col min="10" max="16384" width="9" style="44"/>
  </cols>
  <sheetData>
    <row r="1" spans="1:9" ht="16.5" customHeight="1" x14ac:dyDescent="0.2">
      <c r="A1" s="43"/>
      <c r="B1" s="43"/>
      <c r="C1" s="43"/>
      <c r="D1" s="43"/>
      <c r="E1" s="43"/>
      <c r="F1" s="43"/>
      <c r="G1" s="259" t="str">
        <f>IF(手引き!D9="","令和　　年　　月　　日",手引き!D9)</f>
        <v>令和　　年　　月　　日</v>
      </c>
      <c r="H1" s="259"/>
      <c r="I1" s="259"/>
    </row>
    <row r="2" spans="1:9" ht="16.5" customHeight="1" x14ac:dyDescent="0.2">
      <c r="A2" s="43"/>
      <c r="B2" s="43"/>
      <c r="C2" s="43"/>
      <c r="D2" s="43"/>
      <c r="E2" s="43"/>
      <c r="F2" s="43"/>
      <c r="G2" s="43"/>
      <c r="H2" s="43"/>
      <c r="I2" s="43"/>
    </row>
    <row r="3" spans="1:9" ht="16.5" customHeight="1" x14ac:dyDescent="0.2">
      <c r="A3" s="43" t="s">
        <v>42</v>
      </c>
      <c r="B3" s="43"/>
      <c r="C3" s="43"/>
      <c r="D3" s="43"/>
      <c r="E3" s="43"/>
      <c r="F3" s="43"/>
      <c r="G3" s="43"/>
      <c r="H3" s="43"/>
      <c r="I3" s="43"/>
    </row>
    <row r="4" spans="1:9" ht="16.5" customHeight="1" x14ac:dyDescent="0.2">
      <c r="A4" s="43"/>
      <c r="B4" s="43"/>
      <c r="C4" s="43"/>
      <c r="D4" s="43"/>
      <c r="E4" s="43"/>
      <c r="F4" s="43"/>
      <c r="G4" s="43"/>
      <c r="H4" s="43"/>
      <c r="I4" s="43"/>
    </row>
    <row r="5" spans="1:9" ht="16.5" customHeight="1" x14ac:dyDescent="0.2">
      <c r="A5" s="43"/>
      <c r="B5" s="43"/>
      <c r="C5" s="43"/>
      <c r="D5" s="43"/>
      <c r="E5" s="49" t="s">
        <v>57</v>
      </c>
      <c r="F5" s="260" t="str">
        <f>IF(手引き!D10="","",手引き!D10)</f>
        <v/>
      </c>
      <c r="G5" s="260"/>
      <c r="H5" s="260"/>
      <c r="I5" s="260"/>
    </row>
    <row r="6" spans="1:9" ht="16.5" customHeight="1" x14ac:dyDescent="0.2">
      <c r="A6" s="43"/>
      <c r="B6" s="43"/>
      <c r="C6" s="43"/>
      <c r="D6" s="43"/>
      <c r="E6" s="49" t="s">
        <v>404</v>
      </c>
      <c r="F6" s="260" t="str">
        <f>IF(手引き!D11="","",手引き!D11)</f>
        <v/>
      </c>
      <c r="G6" s="260"/>
      <c r="H6" s="260"/>
      <c r="I6" s="260"/>
    </row>
    <row r="7" spans="1:9" ht="16.5" customHeight="1" x14ac:dyDescent="0.2">
      <c r="A7" s="43"/>
      <c r="B7" s="43"/>
      <c r="C7" s="43"/>
      <c r="D7" s="43"/>
      <c r="E7" s="49" t="s">
        <v>55</v>
      </c>
      <c r="F7" s="260" t="str">
        <f>IF(手引き!D12="","",手引き!D12)</f>
        <v/>
      </c>
      <c r="G7" s="260"/>
      <c r="H7" s="260"/>
      <c r="I7" s="260"/>
    </row>
    <row r="8" spans="1:9" ht="16.5" customHeight="1" x14ac:dyDescent="0.2">
      <c r="A8" s="43"/>
      <c r="B8" s="43"/>
      <c r="C8" s="43"/>
      <c r="D8" s="43"/>
      <c r="E8" s="49"/>
      <c r="F8" s="148"/>
      <c r="G8" s="148"/>
      <c r="H8" s="148"/>
      <c r="I8" s="148"/>
    </row>
    <row r="9" spans="1:9" ht="16.5" customHeight="1" x14ac:dyDescent="0.2">
      <c r="A9" s="43"/>
      <c r="B9" s="43"/>
      <c r="C9" s="43"/>
      <c r="D9" s="43"/>
      <c r="E9" s="49" t="s">
        <v>393</v>
      </c>
      <c r="F9" s="260" t="str">
        <f>IF(手引き!D13="","",手引き!D13)</f>
        <v/>
      </c>
      <c r="G9" s="260"/>
      <c r="H9" s="260"/>
      <c r="I9" s="260"/>
    </row>
    <row r="10" spans="1:9" ht="16.5" customHeight="1" x14ac:dyDescent="0.2">
      <c r="A10" s="43"/>
      <c r="B10" s="43"/>
      <c r="C10" s="43"/>
      <c r="D10" s="43"/>
      <c r="E10" s="49" t="s">
        <v>389</v>
      </c>
      <c r="F10" s="260" t="str">
        <f>IF(手引き!D14="","",手引き!D14)</f>
        <v/>
      </c>
      <c r="G10" s="260"/>
      <c r="H10" s="260"/>
      <c r="I10" s="260"/>
    </row>
    <row r="11" spans="1:9" ht="16.5" customHeight="1" x14ac:dyDescent="0.2">
      <c r="A11" s="43"/>
      <c r="B11" s="43"/>
      <c r="C11" s="43"/>
      <c r="D11" s="43"/>
      <c r="E11" s="49" t="s">
        <v>388</v>
      </c>
      <c r="F11" s="260" t="str">
        <f>IF(手引き!D15="","",手引き!D15)</f>
        <v/>
      </c>
      <c r="G11" s="260"/>
      <c r="H11" s="260"/>
      <c r="I11" s="260"/>
    </row>
    <row r="12" spans="1:9" ht="16.5" customHeight="1" x14ac:dyDescent="0.2">
      <c r="A12" s="43"/>
      <c r="B12" s="43"/>
      <c r="C12" s="43"/>
      <c r="D12" s="43"/>
      <c r="E12" s="198" t="s">
        <v>413</v>
      </c>
    </row>
    <row r="13" spans="1:9" ht="16.5" customHeight="1" x14ac:dyDescent="0.2">
      <c r="A13" s="43"/>
      <c r="B13" s="43"/>
      <c r="C13" s="43"/>
      <c r="D13" s="43"/>
      <c r="E13" s="43"/>
      <c r="F13" s="260" t="str">
        <f>IF(手引き!D17="","",手引き!D17)</f>
        <v/>
      </c>
      <c r="G13" s="260"/>
      <c r="H13" s="260"/>
      <c r="I13" s="260"/>
    </row>
    <row r="14" spans="1:9" ht="16.5" customHeight="1" x14ac:dyDescent="0.2">
      <c r="A14" s="43"/>
      <c r="B14" s="43"/>
      <c r="C14" s="43"/>
      <c r="D14" s="43"/>
      <c r="E14" s="43"/>
      <c r="F14" s="43"/>
      <c r="G14" s="43"/>
      <c r="H14" s="43"/>
      <c r="I14" s="43"/>
    </row>
    <row r="15" spans="1:9" ht="16.5" customHeight="1" x14ac:dyDescent="0.2">
      <c r="A15" s="45"/>
      <c r="B15" s="45"/>
      <c r="C15" s="45"/>
      <c r="D15" s="45"/>
      <c r="E15" s="46" t="s">
        <v>38</v>
      </c>
      <c r="F15" s="45"/>
      <c r="G15" s="45"/>
      <c r="H15" s="45"/>
      <c r="I15" s="45"/>
    </row>
    <row r="16" spans="1:9" ht="16.5" customHeight="1" x14ac:dyDescent="0.2">
      <c r="A16" s="45"/>
      <c r="B16" s="45"/>
      <c r="C16" s="45"/>
      <c r="D16" s="45"/>
      <c r="E16" s="46" t="str">
        <f>IF(手引き!$C$18="○","運賃及び料金設定認可申請書","運賃及び料金変更認可申請書")</f>
        <v>運賃及び料金変更認可申請書</v>
      </c>
      <c r="F16" s="45"/>
      <c r="G16" s="45"/>
      <c r="H16" s="45"/>
      <c r="I16" s="45"/>
    </row>
    <row r="17" spans="1:9" ht="16.5" customHeight="1" x14ac:dyDescent="0.2">
      <c r="A17" s="43"/>
      <c r="B17" s="43"/>
      <c r="C17" s="43"/>
      <c r="D17" s="43"/>
      <c r="E17" s="43"/>
      <c r="F17" s="43"/>
      <c r="G17" s="43"/>
      <c r="H17" s="43"/>
      <c r="I17" s="43"/>
    </row>
    <row r="18" spans="1:9" ht="16.5" customHeight="1" x14ac:dyDescent="0.2">
      <c r="A18" s="43"/>
      <c r="B18" s="43"/>
      <c r="C18" s="43"/>
      <c r="D18" s="43"/>
      <c r="E18" s="43"/>
      <c r="F18" s="43"/>
      <c r="G18" s="43"/>
      <c r="H18" s="43"/>
      <c r="I18" s="43"/>
    </row>
    <row r="19" spans="1:9" ht="22.8" customHeight="1" x14ac:dyDescent="0.15">
      <c r="A19" s="149" t="str">
        <f>IF(手引き!$C$18="○","今般、一般乗用旅客自動車運送事業の運賃及び料金の設定をしたいので、","今般、一般乗用旅客自動車運送事業の運賃及び料金の変更をしたいので、")</f>
        <v>今般、一般乗用旅客自動車運送事業の運賃及び料金の変更をしたいので、</v>
      </c>
      <c r="B19" s="47"/>
      <c r="C19" s="47"/>
      <c r="D19" s="47"/>
      <c r="E19" s="47"/>
      <c r="F19" s="47"/>
      <c r="G19" s="47"/>
      <c r="H19" s="47"/>
      <c r="I19" s="47"/>
    </row>
    <row r="20" spans="1:9" ht="16.5" customHeight="1" x14ac:dyDescent="0.15">
      <c r="A20" s="149" t="s">
        <v>56</v>
      </c>
      <c r="B20" s="47"/>
      <c r="C20" s="47"/>
      <c r="D20" s="47"/>
      <c r="E20" s="47"/>
      <c r="F20" s="47"/>
      <c r="G20" s="47"/>
      <c r="H20" s="47"/>
      <c r="I20" s="47"/>
    </row>
    <row r="21" spans="1:9" ht="16.5" customHeight="1" x14ac:dyDescent="0.15">
      <c r="A21" s="47"/>
      <c r="B21" s="47"/>
      <c r="C21" s="47"/>
      <c r="D21" s="47"/>
      <c r="E21" s="47"/>
      <c r="F21" s="47"/>
      <c r="G21" s="47"/>
      <c r="H21" s="47"/>
      <c r="I21" s="47"/>
    </row>
    <row r="22" spans="1:9" ht="16.5" customHeight="1" x14ac:dyDescent="0.2">
      <c r="A22" s="43"/>
      <c r="B22" s="43"/>
      <c r="C22" s="43"/>
      <c r="D22" s="43"/>
      <c r="E22" s="43"/>
      <c r="F22" s="43"/>
      <c r="G22" s="43"/>
      <c r="H22" s="43"/>
      <c r="I22" s="43"/>
    </row>
    <row r="23" spans="1:9" ht="16.5" customHeight="1" x14ac:dyDescent="0.2">
      <c r="A23" s="43"/>
      <c r="B23" s="43"/>
      <c r="C23" s="43"/>
      <c r="D23" s="43"/>
      <c r="E23" s="48" t="s">
        <v>39</v>
      </c>
      <c r="F23" s="43"/>
      <c r="G23" s="43"/>
      <c r="H23" s="43"/>
      <c r="I23" s="43"/>
    </row>
    <row r="24" spans="1:9" ht="16.5" customHeight="1" x14ac:dyDescent="0.2">
      <c r="A24" s="43" t="s">
        <v>59</v>
      </c>
      <c r="B24" s="43"/>
      <c r="C24" s="43"/>
      <c r="D24" s="43"/>
      <c r="E24" s="43"/>
      <c r="F24" s="43"/>
      <c r="G24" s="43"/>
      <c r="H24" s="43"/>
      <c r="I24" s="43"/>
    </row>
    <row r="25" spans="1:9" ht="16.5" customHeight="1" x14ac:dyDescent="0.2">
      <c r="A25" s="43"/>
      <c r="B25" s="43"/>
      <c r="C25" s="43"/>
      <c r="D25" s="43"/>
      <c r="E25" s="43"/>
      <c r="F25" s="43"/>
      <c r="G25" s="43"/>
      <c r="H25" s="43"/>
      <c r="I25" s="43"/>
    </row>
    <row r="26" spans="1:9" ht="16.5" customHeight="1" x14ac:dyDescent="0.2">
      <c r="A26" s="43"/>
      <c r="B26" s="43"/>
      <c r="C26" s="43"/>
      <c r="D26" s="43"/>
      <c r="E26" s="43"/>
      <c r="F26" s="43"/>
      <c r="G26" s="43"/>
      <c r="H26" s="43"/>
      <c r="I26" s="43"/>
    </row>
    <row r="27" spans="1:9" ht="16.5" customHeight="1" x14ac:dyDescent="0.2">
      <c r="A27" s="43"/>
      <c r="B27" s="49" t="s">
        <v>91</v>
      </c>
      <c r="C27" s="260" t="str">
        <f>F5</f>
        <v/>
      </c>
      <c r="D27" s="260"/>
      <c r="E27" s="260"/>
      <c r="F27" s="260"/>
      <c r="G27" s="260"/>
      <c r="H27" s="260"/>
      <c r="I27" s="260"/>
    </row>
    <row r="28" spans="1:9" ht="16.5" customHeight="1" x14ac:dyDescent="0.2">
      <c r="A28" s="43"/>
      <c r="B28" s="49" t="s">
        <v>92</v>
      </c>
      <c r="C28" s="52" t="str">
        <f>F6</f>
        <v/>
      </c>
      <c r="D28" s="43"/>
      <c r="E28" s="43"/>
      <c r="F28" s="43"/>
      <c r="G28" s="43"/>
      <c r="H28" s="43"/>
      <c r="I28" s="43"/>
    </row>
    <row r="29" spans="1:9" ht="16.5" customHeight="1" x14ac:dyDescent="0.2">
      <c r="A29" s="43"/>
      <c r="B29" s="49" t="s">
        <v>93</v>
      </c>
      <c r="C29" s="52" t="str">
        <f>F7</f>
        <v/>
      </c>
      <c r="D29" s="43"/>
      <c r="E29" s="43"/>
      <c r="F29" s="43"/>
      <c r="G29" s="43"/>
      <c r="H29" s="43"/>
      <c r="I29" s="43"/>
    </row>
    <row r="30" spans="1:9" ht="16.5" customHeight="1" x14ac:dyDescent="0.2">
      <c r="A30" s="43"/>
      <c r="B30" s="43"/>
      <c r="C30" s="43"/>
      <c r="D30" s="43"/>
      <c r="E30" s="43"/>
      <c r="F30" s="43"/>
      <c r="G30" s="43"/>
      <c r="H30" s="43"/>
      <c r="I30" s="43"/>
    </row>
    <row r="31" spans="1:9" ht="16.5" customHeight="1" x14ac:dyDescent="0.2">
      <c r="A31" s="43"/>
      <c r="B31" s="43"/>
      <c r="C31" s="43"/>
      <c r="D31" s="43"/>
      <c r="E31" s="43"/>
      <c r="F31" s="43"/>
      <c r="G31" s="43"/>
      <c r="H31" s="43"/>
      <c r="I31" s="43"/>
    </row>
    <row r="32" spans="1:9" ht="16.5" customHeight="1" x14ac:dyDescent="0.2">
      <c r="A32" s="43" t="s">
        <v>58</v>
      </c>
      <c r="B32" s="43"/>
      <c r="C32" s="43"/>
      <c r="D32" s="43"/>
      <c r="E32" s="43"/>
      <c r="F32" s="43"/>
      <c r="G32" s="43"/>
      <c r="H32" s="43"/>
      <c r="I32" s="43"/>
    </row>
    <row r="33" spans="1:9" ht="16.5" customHeight="1" x14ac:dyDescent="0.2">
      <c r="B33" s="43"/>
      <c r="C33" s="43"/>
      <c r="D33" s="43"/>
      <c r="E33" s="43"/>
      <c r="F33" s="43"/>
      <c r="G33" s="43"/>
      <c r="H33" s="43"/>
      <c r="I33" s="43"/>
    </row>
    <row r="34" spans="1:9" ht="16.5" customHeight="1" x14ac:dyDescent="0.2">
      <c r="B34" s="43" t="str">
        <f>IFERROR(手引き!$J$30,"")</f>
        <v>大阪府</v>
      </c>
      <c r="C34" s="43"/>
      <c r="D34" s="43"/>
      <c r="E34" s="43"/>
      <c r="F34" s="43"/>
      <c r="G34" s="43"/>
      <c r="H34" s="43"/>
      <c r="I34" s="43"/>
    </row>
    <row r="35" spans="1:9" ht="16.5" customHeight="1" x14ac:dyDescent="0.2">
      <c r="A35" s="43"/>
      <c r="B35" s="43"/>
      <c r="C35" s="43"/>
      <c r="D35" s="43"/>
      <c r="E35" s="43"/>
      <c r="F35" s="43"/>
      <c r="G35" s="43"/>
      <c r="H35" s="47"/>
      <c r="I35" s="47"/>
    </row>
    <row r="36" spans="1:9" ht="16.5" customHeight="1" x14ac:dyDescent="0.2">
      <c r="A36" s="43" t="s">
        <v>60</v>
      </c>
      <c r="B36" s="43"/>
      <c r="C36" s="43"/>
      <c r="D36" s="43"/>
      <c r="E36" s="43"/>
      <c r="F36" s="43"/>
      <c r="G36" s="43"/>
      <c r="H36" s="47"/>
      <c r="I36" s="47"/>
    </row>
    <row r="37" spans="1:9" ht="16.5" customHeight="1" x14ac:dyDescent="0.2">
      <c r="A37" s="43"/>
      <c r="B37" s="43"/>
      <c r="C37" s="43"/>
      <c r="D37" s="43"/>
      <c r="E37" s="43"/>
      <c r="F37" s="43"/>
      <c r="G37" s="43"/>
      <c r="H37" s="47"/>
      <c r="I37" s="47"/>
    </row>
    <row r="38" spans="1:9" ht="16.5" customHeight="1" x14ac:dyDescent="0.2">
      <c r="A38" s="43"/>
      <c r="B38" s="43" t="s">
        <v>41</v>
      </c>
      <c r="C38" s="43"/>
      <c r="D38" s="43"/>
      <c r="E38" s="43"/>
      <c r="F38" s="43"/>
      <c r="G38" s="43"/>
      <c r="H38" s="47"/>
      <c r="I38" s="47"/>
    </row>
    <row r="39" spans="1:9" ht="16.5" customHeight="1" x14ac:dyDescent="0.2">
      <c r="A39" s="43"/>
      <c r="B39" s="43"/>
      <c r="C39" s="43"/>
      <c r="D39" s="43"/>
      <c r="E39" s="43"/>
      <c r="F39" s="43"/>
      <c r="G39" s="43"/>
      <c r="H39" s="47"/>
      <c r="I39" s="47"/>
    </row>
    <row r="40" spans="1:9" ht="16.5" customHeight="1" x14ac:dyDescent="0.2">
      <c r="A40" s="43" t="s">
        <v>40</v>
      </c>
      <c r="B40" s="43"/>
      <c r="C40" s="43"/>
      <c r="D40" s="43"/>
      <c r="E40" s="43"/>
      <c r="F40" s="43"/>
      <c r="G40" s="43"/>
      <c r="H40" s="43"/>
      <c r="I40" s="43"/>
    </row>
    <row r="41" spans="1:9" ht="16.5" customHeight="1" x14ac:dyDescent="0.2">
      <c r="A41" s="43" t="str">
        <f>IF(手引き!C18="○","","　４．変更を必要とする理由")</f>
        <v>　４．変更を必要とする理由</v>
      </c>
      <c r="B41" s="43"/>
      <c r="C41" s="43"/>
      <c r="D41" s="43"/>
      <c r="E41" s="43"/>
      <c r="F41" s="43"/>
      <c r="G41" s="43"/>
      <c r="H41" s="43"/>
      <c r="I41" s="43"/>
    </row>
    <row r="42" spans="1:9" ht="16.5" customHeight="1" x14ac:dyDescent="0.2">
      <c r="A42" s="43"/>
      <c r="B42" s="43"/>
      <c r="C42" s="43"/>
      <c r="D42" s="43"/>
      <c r="E42" s="43"/>
      <c r="F42" s="43"/>
      <c r="G42" s="43"/>
      <c r="H42" s="43"/>
      <c r="I42" s="43"/>
    </row>
    <row r="43" spans="1:9" ht="16.5" customHeight="1" x14ac:dyDescent="0.2">
      <c r="A43" s="43"/>
      <c r="B43" s="43" t="str">
        <f>IF(手引き!C18="○","",IF(手引き!E20="","",手引き!E20))</f>
        <v/>
      </c>
      <c r="C43" s="43"/>
      <c r="D43" s="43"/>
      <c r="E43" s="43"/>
      <c r="F43" s="43"/>
      <c r="G43" s="43"/>
      <c r="H43" s="43"/>
      <c r="I43" s="43"/>
    </row>
    <row r="44" spans="1:9" ht="16.5" customHeight="1" x14ac:dyDescent="0.2">
      <c r="A44" s="43"/>
      <c r="B44" s="43"/>
      <c r="C44" s="43"/>
      <c r="D44" s="43"/>
      <c r="E44" s="43"/>
      <c r="F44" s="43"/>
      <c r="G44" s="43"/>
      <c r="H44" s="43"/>
      <c r="I44" s="43"/>
    </row>
    <row r="45" spans="1:9" ht="16.5" customHeight="1" x14ac:dyDescent="0.2">
      <c r="A45" s="50" t="s">
        <v>90</v>
      </c>
    </row>
    <row r="46" spans="1:9" ht="16.5" customHeight="1" x14ac:dyDescent="0.2">
      <c r="B46" s="44" t="str">
        <f>IF(手引き!C19="○","現行の認可書の写し",IF(B47="","無",""))</f>
        <v>無</v>
      </c>
    </row>
    <row r="47" spans="1:9" ht="16.5" customHeight="1" x14ac:dyDescent="0.2"/>
    <row r="48" spans="1:9" ht="16.5" customHeight="1" x14ac:dyDescent="0.2">
      <c r="E48" s="44" t="s">
        <v>102</v>
      </c>
    </row>
    <row r="49" spans="5:5" ht="16.5" customHeight="1" x14ac:dyDescent="0.2">
      <c r="E49" s="44" t="str">
        <f ca="1">IFERROR(CONCATENATE(手引き!$M$26,手引き!$Q$24,手引き!$T$39,手引き!$T$40,手引き!$Q$43,手引き!$Q$44,手引き!$Q$49,手引き!$Q$51,手引き!$Q$52,手引き!$Q$53,手引き!$Q$54,手引き!$Q$55,手引き!$Q$58,手引き!#REF!,手引き!$Q$64,手引き!$Q$69),"")</f>
        <v/>
      </c>
    </row>
    <row r="50" spans="5:5" ht="16.5" customHeight="1" x14ac:dyDescent="0.2">
      <c r="E50" s="67" t="str">
        <f>手引き!I2</f>
        <v>※令和8年9月更新様式</v>
      </c>
    </row>
    <row r="51" spans="5:5" ht="16.5" customHeight="1" x14ac:dyDescent="0.2"/>
  </sheetData>
  <sheetProtection algorithmName="SHA-512" hashValue="vnJQ0KE65135GK48gXkrHFVmDBmjrpZjv3uu/Av7dPQvywsb3TJ/OMucOeyAqbNn+jbRskRx63xkENPIijW3UA==" saltValue="vT/RzA/XQkHjjbIwt84loQ==" spinCount="100000" sheet="1" objects="1" scenarios="1"/>
  <mergeCells count="9">
    <mergeCell ref="G1:I1"/>
    <mergeCell ref="C27:I27"/>
    <mergeCell ref="F5:I5"/>
    <mergeCell ref="F6:I6"/>
    <mergeCell ref="F9:I9"/>
    <mergeCell ref="F11:I11"/>
    <mergeCell ref="F10:I10"/>
    <mergeCell ref="F7:I7"/>
    <mergeCell ref="F13:I13"/>
  </mergeCells>
  <phoneticPr fontId="1"/>
  <pageMargins left="0.70866141732283472" right="0.70866141732283472" top="0.74803149606299213" bottom="0.74803149606299213" header="0.31496062992125984" footer="0.31496062992125984"/>
  <pageSetup paperSize="9" scale="94" orientation="portrait" horizont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M200"/>
  <sheetViews>
    <sheetView view="pageBreakPreview" zoomScale="115" zoomScaleNormal="70" zoomScaleSheetLayoutView="115" workbookViewId="0"/>
  </sheetViews>
  <sheetFormatPr defaultColWidth="4.109375" defaultRowHeight="18" customHeight="1" x14ac:dyDescent="0.2"/>
  <cols>
    <col min="1" max="1" width="7.5546875" style="150" bestFit="1" customWidth="1"/>
    <col min="2" max="2" width="7.44140625" style="150" customWidth="1"/>
    <col min="3" max="3" width="8.6640625" style="150" customWidth="1"/>
    <col min="4" max="4" width="5.21875" style="150" customWidth="1"/>
    <col min="5" max="7" width="4.109375" style="150"/>
    <col min="8" max="8" width="5.44140625" style="150" customWidth="1"/>
    <col min="9" max="9" width="6.5546875" style="150" bestFit="1" customWidth="1"/>
    <col min="10" max="10" width="4.109375" style="150"/>
    <col min="11" max="11" width="4.21875" style="150" bestFit="1" customWidth="1"/>
    <col min="12" max="12" width="4.109375" style="150"/>
    <col min="13" max="13" width="4.21875" style="150" bestFit="1" customWidth="1"/>
    <col min="14" max="17" width="4.109375" style="150"/>
    <col min="18" max="18" width="4.109375" style="150" customWidth="1"/>
    <col min="19" max="19" width="6.21875" style="150" customWidth="1"/>
    <col min="20" max="20" width="4.109375" style="150" customWidth="1"/>
    <col min="21" max="22" width="4.109375" style="150" hidden="1" customWidth="1"/>
    <col min="23" max="23" width="9.44140625" style="150" hidden="1" customWidth="1"/>
    <col min="24" max="24" width="8.44140625" style="150" hidden="1" customWidth="1"/>
    <col min="25" max="25" width="18.44140625" style="150" hidden="1" customWidth="1"/>
    <col min="26" max="26" width="22.77734375" style="150" hidden="1" customWidth="1"/>
    <col min="27" max="27" width="4.109375" style="150" hidden="1" customWidth="1"/>
    <col min="28" max="28" width="9.44140625" style="150" hidden="1" customWidth="1"/>
    <col min="29" max="29" width="11.6640625" style="150" hidden="1" customWidth="1"/>
    <col min="30" max="30" width="18.6640625" style="150" hidden="1" customWidth="1"/>
    <col min="31" max="39" width="4.109375" style="150" hidden="1" customWidth="1"/>
    <col min="40" max="53" width="4.109375" style="150" customWidth="1"/>
    <col min="54" max="16384" width="4.109375" style="150"/>
  </cols>
  <sheetData>
    <row r="1" spans="1:36" ht="18" customHeight="1" x14ac:dyDescent="0.2">
      <c r="A1" s="53" t="s">
        <v>33</v>
      </c>
      <c r="Z1" s="150" t="str">
        <f>INDEX(手引き!Z:Z,MATCH($V$3,手引き!$V:$V,0)-2)</f>
        <v>初乗距離</v>
      </c>
    </row>
    <row r="2" spans="1:36" ht="13.2" x14ac:dyDescent="0.2">
      <c r="X2" s="150" t="str">
        <f>INDEX(手引き!X:X,MATCH($V$3,手引き!$V:$V,0)-1)</f>
        <v>距離制運賃</v>
      </c>
      <c r="Z2" s="150">
        <f>INDEX(手引き!Z:Z,MATCH($V$3,手引き!$V:$V,0)-1)</f>
        <v>1.2</v>
      </c>
      <c r="AC2" s="150" t="str">
        <f>INDEX(手引き!AC:AC,MATCH($V$3,手引き!$V:$V,0)-1)</f>
        <v>時間制運賃</v>
      </c>
      <c r="AD2" s="150">
        <f>INDEX(手引き!AD:AD,MATCH($V$3,手引き!$V:$V,0)-1)</f>
        <v>0</v>
      </c>
      <c r="AF2" s="150">
        <f>INDEX(手引き!AF:AF,MATCH($V$3,手引き!$V:$V,0)-1)</f>
        <v>30</v>
      </c>
      <c r="AH2" s="150">
        <f>INDEX(手引き!AH:AH,MATCH($V$3,手引き!$V:$V,0)-1)</f>
        <v>30</v>
      </c>
      <c r="AJ2" s="150">
        <f>INDEX(手引き!AJ:AJ,MATCH($V$3,手引き!$V:$V,0)-1)</f>
        <v>0</v>
      </c>
    </row>
    <row r="3" spans="1:36" ht="12" customHeight="1" x14ac:dyDescent="0.2">
      <c r="V3" s="150" t="str">
        <f>手引き!M26</f>
        <v>大阪</v>
      </c>
      <c r="W3" s="150" t="str">
        <f>INDEX(手引き!W:W,MATCH($V$3,手引き!$V:$V,0))</f>
        <v>設定範囲</v>
      </c>
      <c r="X3" s="150" t="str">
        <f>INDEX(手引き!X:X,MATCH($V$3,手引き!$V:$V,0))</f>
        <v>特定大型車</v>
      </c>
      <c r="Y3" s="150" t="str">
        <f>INDEX(手引き!Y:Y,MATCH($V$3,手引き!$V:$V,0))</f>
        <v>大阪!$A$8</v>
      </c>
      <c r="Z3" s="150" t="str">
        <f>INDEX(手引き!Z:Z,MATCH($V$3,手引き!$V:$V,0))</f>
        <v>大阪!$A$9:$Z$14</v>
      </c>
      <c r="AB3" s="150" t="str">
        <f>INDEX(手引き!AB:AB,MATCH($V$3,手引き!$V:$V,0))</f>
        <v>設定範囲</v>
      </c>
      <c r="AC3" s="150" t="str">
        <f>INDEX(手引き!AC:AC,MATCH($V$3,手引き!$V:$V,0))</f>
        <v>特定大型車</v>
      </c>
      <c r="AD3" s="150" t="str">
        <f>INDEX(手引き!AD:AD,MATCH($V$3,手引き!$V:$V,0))</f>
        <v>大阪!$O$8</v>
      </c>
      <c r="AE3" s="150" t="str">
        <f>INDEX(手引き!AE:AE,MATCH($V$3,手引き!$V:$V,0))</f>
        <v>大阪!$O$9:$Z$14</v>
      </c>
    </row>
    <row r="4" spans="1:36" ht="18" customHeight="1" x14ac:dyDescent="0.2">
      <c r="A4" s="169" t="s">
        <v>192</v>
      </c>
      <c r="W4" s="150" t="str">
        <f>INDEX(手引き!W:W,MATCH($V$3,手引き!$V:$V,0)+1)</f>
        <v>設定範囲</v>
      </c>
      <c r="X4" s="150" t="str">
        <f>INDEX(手引き!X:X,MATCH($V$3,手引き!$V:$V,0)+1)</f>
        <v>大型車</v>
      </c>
      <c r="Y4" s="150" t="str">
        <f>INDEX(手引き!Y:Y,MATCH($V$3,手引き!$V:$V,0)+1)</f>
        <v>大阪!$A$18</v>
      </c>
      <c r="Z4" s="150" t="str">
        <f>INDEX(手引き!Z:Z,MATCH($V$3,手引き!$V:$V,0)+1)</f>
        <v>大阪!$A$19:$Z$23</v>
      </c>
      <c r="AB4" s="150" t="str">
        <f>INDEX(手引き!AB:AB,MATCH($V$3,手引き!$V:$V,0)+1)</f>
        <v>設定範囲</v>
      </c>
      <c r="AC4" s="150" t="str">
        <f>INDEX(手引き!AC:AC,MATCH($V$3,手引き!$V:$V,0)+1)</f>
        <v>大型車</v>
      </c>
      <c r="AD4" s="150" t="str">
        <f>INDEX(手引き!AD:AD,MATCH($V$3,手引き!$V:$V,0)+1)</f>
        <v>大阪!$O$18</v>
      </c>
      <c r="AE4" s="150" t="str">
        <f>INDEX(手引き!AE:AE,MATCH($V$3,手引き!$V:$V,0)+1)</f>
        <v>大阪!$O$19:$Z$23</v>
      </c>
    </row>
    <row r="5" spans="1:36" ht="15" customHeight="1" x14ac:dyDescent="0.2">
      <c r="A5" s="53"/>
      <c r="B5" s="170" t="str">
        <f>手引き!$J$30</f>
        <v>大阪府</v>
      </c>
      <c r="W5" s="150" t="str">
        <f>INDEX(手引き!W:W,MATCH($V$3,手引き!$V:$V,0)+2)</f>
        <v>設定範囲</v>
      </c>
      <c r="X5" s="150" t="str">
        <f>INDEX(手引き!X:X,MATCH($V$3,手引き!$V:$V,0)+2)</f>
        <v>普通車</v>
      </c>
      <c r="Y5" s="150" t="str">
        <f>INDEX(手引き!Y:Y,MATCH($V$3,手引き!$V:$V,0)+2)</f>
        <v>大阪!$A$27</v>
      </c>
      <c r="Z5" s="150" t="str">
        <f>INDEX(手引き!Z:Z,MATCH($V$3,手引き!$V:$V,0)+2)</f>
        <v>大阪!$A$28:$Z$32</v>
      </c>
      <c r="AB5" s="150" t="str">
        <f>INDEX(手引き!AB:AB,MATCH($V$3,手引き!$V:$V,0)+2)</f>
        <v>設定範囲</v>
      </c>
      <c r="AC5" s="150" t="str">
        <f>INDEX(手引き!AC:AC,MATCH($V$3,手引き!$V:$V,0)+2)</f>
        <v>普通車</v>
      </c>
      <c r="AD5" s="150" t="str">
        <f>INDEX(手引き!AD:AD,MATCH($V$3,手引き!$V:$V,0)+2)</f>
        <v>大阪!$O$27</v>
      </c>
      <c r="AE5" s="150" t="str">
        <f>INDEX(手引き!AE:AE,MATCH($V$3,手引き!$V:$V,0)+2)</f>
        <v>大阪!$O$28:$Z$32</v>
      </c>
    </row>
    <row r="6" spans="1:36" ht="15" customHeight="1" x14ac:dyDescent="0.2">
      <c r="A6" s="53"/>
      <c r="B6" s="170" t="s">
        <v>390</v>
      </c>
      <c r="W6" s="150" t="str">
        <f>IF(INDEX(手引き!W:W,MATCH($V$3,手引き!$V:$V,0)+3)=0,"",INDEX(手引き!W:W,MATCH($V$3,手引き!$V:$V,0)+3))</f>
        <v>設定範囲</v>
      </c>
      <c r="X6" s="150" t="str">
        <f>IF(INDEX(手引き!X:X,MATCH($V$3,手引き!$V:$V,0)+3)=0,"",INDEX(手引き!X:X,MATCH($V$3,手引き!$V:$V,0)+3))</f>
        <v/>
      </c>
      <c r="Y6" s="150" t="str">
        <f>IF(INDEX(手引き!Y:Y,MATCH($V$3,手引き!$V:$V,0)+3)=0,"",INDEX(手引き!Y:Y,MATCH($V$3,手引き!$V:$V,0)+3))</f>
        <v/>
      </c>
      <c r="Z6" s="150" t="str">
        <f>IF(INDEX(手引き!Z:Z,MATCH($V$3,手引き!$V:$V,0)+3)=0,"",INDEX(手引き!Z:Z,MATCH($V$3,手引き!$V:$V,0)+3))</f>
        <v/>
      </c>
      <c r="AB6" s="150" t="str">
        <f>IF(INDEX(手引き!AB:AB,MATCH($V$3,手引き!$V:$V,0)+3)=0,"",INDEX(手引き!AB:AB,MATCH($V$3,手引き!$V:$V,0)+3))</f>
        <v>設定範囲</v>
      </c>
    </row>
    <row r="7" spans="1:36" ht="12" customHeight="1" x14ac:dyDescent="0.2">
      <c r="A7" s="53" t="s">
        <v>29</v>
      </c>
      <c r="W7" s="150" t="str">
        <f>INDEX(手引き!W:W,MATCH($V$3,手引き!$V:$V,0)+4)</f>
        <v>車種区分</v>
      </c>
      <c r="X7" s="150" t="str">
        <f>INDEX(手引き!X:X,MATCH($V$3,手引き!$V:$V,0)+4)</f>
        <v>車種区分１</v>
      </c>
      <c r="AC7" s="150" t="str">
        <f>IF(INDEX(手引き!AC:AC,MATCH($V$3,手引き!$V:$V,0)+3)=0,"",INDEX(手引き!AC:AC,MATCH($V$3,手引き!$V:$V,0)+3))</f>
        <v/>
      </c>
      <c r="AD7" s="150" t="str">
        <f>IF(INDEX(手引き!AD:AD,MATCH($V$3,手引き!$V:$V,0)+3)=0,"",INDEX(手引き!AD:AD,MATCH($V$3,手引き!$V:$V,0)+3))</f>
        <v/>
      </c>
      <c r="AE7" s="150" t="str">
        <f>IF(INDEX(手引き!AE:AE,MATCH($V$3,手引き!$V:$V,0)+3)=0,"",INDEX(手引き!AE:AE,MATCH($V$3,手引き!$V:$V,0)+3))</f>
        <v/>
      </c>
    </row>
    <row r="8" spans="1:36" ht="15" customHeight="1" x14ac:dyDescent="0.2">
      <c r="A8" s="171" t="s">
        <v>193</v>
      </c>
      <c r="X8" s="150" t="str">
        <f>INDEX(手引き!X:X,MATCH($V$3,手引き!$V:$V,0)+5)</f>
        <v>車種区分①</v>
      </c>
    </row>
    <row r="9" spans="1:36" ht="12.75" customHeight="1" x14ac:dyDescent="0.2">
      <c r="A9" s="53" t="s">
        <v>27</v>
      </c>
      <c r="B9" s="172">
        <f>IF(OR(U9=0,U9=""),"",VLOOKUP(COUNTIF($U$9:$U$9,"・"),名前2!B50:B99,1,0))</f>
        <v>1</v>
      </c>
      <c r="C9" s="150" t="str">
        <f>IF($R$9="設定しない","","特定地域及び準特定地域における一般乗用旅客自動車運送事業の適性化及び")</f>
        <v>特定地域及び準特定地域における一般乗用旅客自動車運送事業の適性化及び</v>
      </c>
      <c r="R9" s="150" t="str">
        <f>IF(手引き!$C$24="○","設定しない","")</f>
        <v/>
      </c>
      <c r="U9" s="173" t="str">
        <f>IF(C9="","","・")</f>
        <v>・</v>
      </c>
    </row>
    <row r="10" spans="1:36" ht="12.75" customHeight="1" x14ac:dyDescent="0.2">
      <c r="A10" s="53"/>
      <c r="C10" s="150" t="str">
        <f>IF($R$9="設定しない","","活性化に関する特別措置法（平成21年法律第64号。以下「法」という。）に")</f>
        <v>活性化に関する特別措置法（平成21年法律第64号。以下「法」という。）に</v>
      </c>
    </row>
    <row r="11" spans="1:36" ht="12.75" customHeight="1" x14ac:dyDescent="0.2">
      <c r="A11" s="53"/>
      <c r="C11" s="150" t="str">
        <f>IF($R$9="設定しない","","よる特定地域及び準特定地域（福祉輸送サービスを行う場合を除く。）")</f>
        <v>よる特定地域及び準特定地域（福祉輸送サービスを行う場合を除く。）</v>
      </c>
      <c r="W11" s="150" t="b">
        <f>IF(手引き!$C$23="設定する","特定地域及び")</f>
        <v>0</v>
      </c>
    </row>
    <row r="12" spans="1:36" ht="12.75" customHeight="1" x14ac:dyDescent="0.2">
      <c r="A12" s="53"/>
    </row>
    <row r="13" spans="1:36" ht="12.75" hidden="1" customHeight="1" x14ac:dyDescent="0.2">
      <c r="A13" s="53"/>
      <c r="B13" s="174"/>
    </row>
    <row r="14" spans="1:36" ht="12.75" customHeight="1" x14ac:dyDescent="0.2">
      <c r="A14" s="53"/>
      <c r="B14" s="175" t="str">
        <f>IF($R$9="設定しない","","(1)")</f>
        <v>(1)</v>
      </c>
      <c r="C14" s="150" t="str">
        <f>IF($R$9="設定しない","","初乗運賃")</f>
        <v>初乗運賃</v>
      </c>
    </row>
    <row r="15" spans="1:36" ht="12.75" customHeight="1" x14ac:dyDescent="0.2">
      <c r="A15" s="53"/>
      <c r="C15" s="150" t="str">
        <f>IF($R$9="設定しない","","法第16条の4条1項に基づき近畿運輸局長に届け出たもの。")</f>
        <v>法第16条の4条1項に基づき近畿運輸局長に届け出たもの。</v>
      </c>
    </row>
    <row r="16" spans="1:36" ht="12.75" customHeight="1" x14ac:dyDescent="0.2">
      <c r="A16" s="53"/>
    </row>
    <row r="17" spans="1:38" ht="12.75" customHeight="1" x14ac:dyDescent="0.2">
      <c r="A17" s="53"/>
      <c r="B17" s="175" t="str">
        <f>IF($R$9="設定しない","","(2)")</f>
        <v>(2)</v>
      </c>
      <c r="C17" s="150" t="str">
        <f>IF($R$9="設定しない","","加算運賃")</f>
        <v>加算運賃</v>
      </c>
    </row>
    <row r="18" spans="1:38" ht="12.75" customHeight="1" x14ac:dyDescent="0.2">
      <c r="A18" s="53"/>
      <c r="C18" s="150" t="str">
        <f>IF($R$9="設定しない","","法第16条の4条1項に基づき近畿運輸局長に届け出たもの。")</f>
        <v>法第16条の4条1項に基づき近畿運輸局長に届け出たもの。</v>
      </c>
      <c r="AL18" s="150" t="str">
        <f>IF(手引き!$C$24="○","設定しない","")</f>
        <v/>
      </c>
    </row>
    <row r="19" spans="1:38" ht="12.75" customHeight="1" x14ac:dyDescent="0.2">
      <c r="A19" s="53"/>
      <c r="AL19" s="150" t="str">
        <f>IF(手引き!$C$24="○","設定しない","")</f>
        <v/>
      </c>
    </row>
    <row r="20" spans="1:38" ht="12.75" customHeight="1" x14ac:dyDescent="0.2">
      <c r="A20" s="53"/>
      <c r="B20" s="175" t="str">
        <f>IF($R$9="設定しない","","(3)")</f>
        <v>(3)</v>
      </c>
      <c r="C20" s="150" t="str">
        <f>IF($R$9="設定しない","","時間距離併用運賃")</f>
        <v>時間距離併用運賃</v>
      </c>
      <c r="AL20" s="150" t="str">
        <f>IF(手引き!$C$24="○","設定しない","")</f>
        <v/>
      </c>
    </row>
    <row r="21" spans="1:38" ht="12.75" customHeight="1" x14ac:dyDescent="0.2">
      <c r="A21" s="53"/>
      <c r="C21" s="150" t="str">
        <f>IF($R$9="設定しない","","法第16条の4条1項に基づき近畿運輸局長に届け出たもの。")</f>
        <v>法第16条の4条1項に基づき近畿運輸局長に届け出たもの。</v>
      </c>
    </row>
    <row r="22" spans="1:38" ht="12.75" customHeight="1" x14ac:dyDescent="0.2">
      <c r="A22" s="53"/>
      <c r="W22" s="174"/>
    </row>
    <row r="23" spans="1:38" ht="12.75" customHeight="1" x14ac:dyDescent="0.2">
      <c r="A23" s="53"/>
      <c r="B23" s="175" t="str">
        <f>IF($R$9="設定しない","","(4)")</f>
        <v>(4)</v>
      </c>
      <c r="C23" s="150" t="str">
        <f>IF($R$9="設定しない","","運賃の割増及び割引")</f>
        <v>運賃の割増及び割引</v>
      </c>
      <c r="W23" s="176"/>
      <c r="AL23" s="150" t="str">
        <f>IF(手引き!$C$24="○","設定しない","")</f>
        <v/>
      </c>
    </row>
    <row r="24" spans="1:38" ht="12.75" customHeight="1" x14ac:dyDescent="0.2">
      <c r="A24" s="53"/>
      <c r="C24" s="150" t="str">
        <f>IF($R$9="設定しない","","２．距離制運賃②(4)に同じ。")</f>
        <v>２．距離制運賃②(4)に同じ。</v>
      </c>
      <c r="AL24" s="150" t="str">
        <f>IF(手引き!$C$24="○","設定しない","")</f>
        <v/>
      </c>
    </row>
    <row r="25" spans="1:38" ht="12.75" customHeight="1" x14ac:dyDescent="0.2">
      <c r="A25" s="53"/>
    </row>
    <row r="26" spans="1:38" ht="12.75" customHeight="1" x14ac:dyDescent="0.2">
      <c r="A26" s="53"/>
      <c r="B26" s="177">
        <f>IF(OR(U9=0,U9=""),"",VLOOKUP(COUNTIF($U$9:$U$26,"・"),名前2!B50:B99,1,0))</f>
        <v>2</v>
      </c>
      <c r="C26" s="150" t="str">
        <f>IF($R$9="設定しない","","①を除く営業区域又は福祉輸送サービスを行う場合")</f>
        <v>①を除く営業区域又は福祉輸送サービスを行う場合</v>
      </c>
      <c r="U26" s="173" t="str">
        <f>IF(C26="","","・")</f>
        <v>・</v>
      </c>
      <c r="W26" s="176"/>
      <c r="AL26" s="150" t="str">
        <f>IF(手引き!$C$24="○","設定しない","")</f>
        <v/>
      </c>
    </row>
    <row r="27" spans="1:38" ht="12.75" customHeight="1" x14ac:dyDescent="0.2">
      <c r="A27" s="53"/>
      <c r="AL27" s="150" t="str">
        <f>IF(手引き!$C$24="○","設定しない","")</f>
        <v/>
      </c>
    </row>
    <row r="28" spans="1:38" ht="12.75" customHeight="1" x14ac:dyDescent="0.2">
      <c r="A28" s="53"/>
      <c r="B28" s="175" t="str">
        <f>IF($R$9="設定しない","","(1)")</f>
        <v>(1)</v>
      </c>
      <c r="C28" s="150" t="str">
        <f>IF($R$9="設定しない","","初乗運賃")</f>
        <v>初乗運賃</v>
      </c>
    </row>
    <row r="29" spans="1:38" ht="12.75" customHeight="1" x14ac:dyDescent="0.2">
      <c r="A29" s="53"/>
      <c r="D29" s="150" t="str">
        <f ca="1">IF($R$9="設定しない","",IF(INDIRECT($Y$3)="無","",$X$3))</f>
        <v/>
      </c>
      <c r="H29" s="150" t="str">
        <f ca="1">IF($R$9="設定しない","",IF(INDIRECT($Y$3)="無","",$Z$2))</f>
        <v/>
      </c>
      <c r="I29" s="150" t="str">
        <f ca="1">IF($R$9="設定しない","",IF(INDIRECT($Y$3)="無","","キロメートルまで"))</f>
        <v/>
      </c>
      <c r="S29" s="150" t="str">
        <f ca="1">IF($R$9="設定しない","",IF(INDIRECT($Y$3)="無","",VLOOKUP("○",INDIRECT($Z$3),3,0)))</f>
        <v/>
      </c>
      <c r="T29" s="150" t="str">
        <f ca="1">IF($R$9="設定しない","",IF(INDIRECT($Y$3)="無","","円"))</f>
        <v/>
      </c>
      <c r="W29" s="176"/>
      <c r="AL29" s="150" t="str">
        <f>IF(手引き!$C$24="○","設定しない","")</f>
        <v/>
      </c>
    </row>
    <row r="30" spans="1:38" ht="12.75" customHeight="1" x14ac:dyDescent="0.2">
      <c r="A30" s="53"/>
      <c r="D30" s="150" t="str">
        <f ca="1">IF($R$9="設定しない","",IF(INDIRECT($Y$4)="無","",$X$4))</f>
        <v/>
      </c>
      <c r="H30" s="150" t="str">
        <f ca="1">IF($R$9="設定しない","",IF(INDIRECT($Y$4)="無","",$Z$2))</f>
        <v/>
      </c>
      <c r="I30" s="150" t="str">
        <f ca="1">IF($R$9="設定しない","",IF(INDIRECT($Y$4)="無","","キロメートルまで"))</f>
        <v/>
      </c>
      <c r="S30" s="150" t="str">
        <f ca="1">IF($R$9="設定しない","",IF(INDIRECT($Y$4)="無","",VLOOKUP("○",INDIRECT($Z$4),3,0)))</f>
        <v/>
      </c>
      <c r="T30" s="150" t="str">
        <f ca="1">IF($R$9="設定しない","",IF(INDIRECT($Y$4)="無","","円"))</f>
        <v/>
      </c>
      <c r="AL30" s="150" t="str">
        <f>IF(手引き!$C$24="○","設定しない","")</f>
        <v/>
      </c>
    </row>
    <row r="31" spans="1:38" ht="12.75" customHeight="1" x14ac:dyDescent="0.2">
      <c r="A31" s="53"/>
      <c r="D31" s="150" t="str">
        <f ca="1">IF($R$9="設定しない","",IF(INDIRECT($Y$5)="無","",$X$5))</f>
        <v/>
      </c>
      <c r="H31" s="150" t="str">
        <f ca="1">IF($R$9="設定しない","",IF(INDIRECT($Y$5)="無","",$Z$2))</f>
        <v/>
      </c>
      <c r="I31" s="150" t="str">
        <f ca="1">IF($R$9="設定しない","",IF(INDIRECT($Y$5)="無","","キロメートルまで"))</f>
        <v/>
      </c>
      <c r="S31" s="150" t="str">
        <f ca="1">IF($R$9="設定しない","",IF(INDIRECT($Y$5)="無","",VLOOKUP("○",INDIRECT($Z$5),3,0)))</f>
        <v/>
      </c>
      <c r="T31" s="150" t="str">
        <f ca="1">IF($R$9="設定しない","",IF(INDIRECT($Y$5)="無","","円"))</f>
        <v/>
      </c>
    </row>
    <row r="32" spans="1:38" ht="12.75" customHeight="1" x14ac:dyDescent="0.2">
      <c r="A32" s="53"/>
      <c r="D32" s="150" t="str">
        <f ca="1">IF($R$9="設定しない","",IF($X$6="","",IF(INDIRECT($Y$6)="無","",$X$6)))</f>
        <v/>
      </c>
      <c r="H32" s="150" t="str">
        <f ca="1">IF($R$9="設定しない","",IF($X$6="","",IF(INDIRECT($Y$6)="無","",$Z$2)))</f>
        <v/>
      </c>
      <c r="I32" s="150" t="str">
        <f ca="1">IF($R$9="設定しない","",IF($X$6="","",IF(INDIRECT($Y$6)="無","","キロメートルまで")))</f>
        <v/>
      </c>
      <c r="S32" s="150" t="str">
        <f ca="1">IF($R$9="設定しない","",IF($X$6="","",IF(INDIRECT($Y$6)="無","",VLOOKUP("○",INDIRECT($Z$6),3,0))))</f>
        <v/>
      </c>
      <c r="T32" s="150" t="str">
        <f ca="1">IF($R$9="設定しない","",IF($X$6="","",IF(INDIRECT($Y$6)="無","","円")))</f>
        <v/>
      </c>
      <c r="W32" s="176"/>
      <c r="AL32" s="150" t="str">
        <f>IF(手引き!$C$24="○","設定しない","")</f>
        <v/>
      </c>
    </row>
    <row r="33" spans="1:38" ht="12.75" customHeight="1" x14ac:dyDescent="0.2">
      <c r="A33" s="53"/>
      <c r="AL33" s="150" t="str">
        <f>IF(手引き!$C$24="○","設定しない","")</f>
        <v/>
      </c>
    </row>
    <row r="34" spans="1:38" ht="12.75" customHeight="1" x14ac:dyDescent="0.2">
      <c r="A34" s="53"/>
      <c r="B34" s="175" t="str">
        <f>IF($R$9="設定しない","","(2)")</f>
        <v>(2)</v>
      </c>
      <c r="C34" s="150" t="str">
        <f>IF(R9="設定しない","","加算運賃")</f>
        <v>加算運賃</v>
      </c>
    </row>
    <row r="35" spans="1:38" ht="12.75" customHeight="1" x14ac:dyDescent="0.2">
      <c r="A35" s="53"/>
      <c r="D35" s="150" t="str">
        <f ca="1">IF($R$9="設定しない","",IF(INDIRECT($Y$3)="無","",$X$3))</f>
        <v/>
      </c>
      <c r="H35" s="150" t="str">
        <f ca="1">IF($R$9="設定しない","",IF(INDIRECT($Y$3)="無","",VLOOKUP("○",INDIRECT($Z$3),5,0)))</f>
        <v/>
      </c>
      <c r="I35" s="150" t="str">
        <f ca="1">IF($R$9="設定しない","",IF(INDIRECT($Y$3)="無","","メートルまでごとに"))</f>
        <v/>
      </c>
      <c r="S35" s="150" t="str">
        <f ca="1">IF($R$9="設定しない","",IF(INDIRECT($Y$3)="無","",VLOOKUP("○",INDIRECT($Z$3),7,0)))</f>
        <v/>
      </c>
      <c r="T35" s="150" t="str">
        <f ca="1">IF($R$9="設定しない","",IF(INDIRECT($Y$3)="無","","円"))</f>
        <v/>
      </c>
    </row>
    <row r="36" spans="1:38" ht="12.75" customHeight="1" x14ac:dyDescent="0.2">
      <c r="A36" s="53"/>
      <c r="D36" s="150" t="str">
        <f ca="1">IF($R$9="設定しない","",IF(INDIRECT($Y$4)="無","",$X$4))</f>
        <v/>
      </c>
      <c r="H36" s="150" t="str">
        <f ca="1">IF($R$9="設定しない","",IF(INDIRECT($Y$4)="無","",VLOOKUP("○",INDIRECT($Z$4),5,0)))</f>
        <v/>
      </c>
      <c r="I36" s="150" t="str">
        <f ca="1">IF($R$9="設定しない","",IF(INDIRECT($Y$4)="無","","メートルまでごとに"))</f>
        <v/>
      </c>
      <c r="S36" s="150" t="str">
        <f ca="1">IF($R$9="設定しない","",IF(INDIRECT($Y$4)="無","",VLOOKUP("○",INDIRECT($Z$4),7,0)))</f>
        <v/>
      </c>
      <c r="T36" s="150" t="str">
        <f ca="1">IF($R$9="設定しない","",IF(INDIRECT($Y$4)="無","","円"))</f>
        <v/>
      </c>
    </row>
    <row r="37" spans="1:38" ht="12.75" customHeight="1" x14ac:dyDescent="0.2">
      <c r="A37" s="53"/>
      <c r="D37" s="150" t="str">
        <f ca="1">IF($R$9="設定しない","",IF(INDIRECT($Y$5)="無","",$X$5))</f>
        <v/>
      </c>
      <c r="H37" s="150" t="str">
        <f ca="1">IF($R$9="設定しない","",IF(INDIRECT($Y$5)="無","",VLOOKUP("○",INDIRECT($Z$5),5,0)))</f>
        <v/>
      </c>
      <c r="I37" s="150" t="str">
        <f ca="1">IF($R$9="設定しない","",IF(INDIRECT($Y$5)="無","","メートルまでごとに"))</f>
        <v/>
      </c>
      <c r="S37" s="150" t="str">
        <f ca="1">IF($R$9="設定しない","",IF(INDIRECT($Y$5)="無","",VLOOKUP("○",INDIRECT($Z$5),7,0)))</f>
        <v/>
      </c>
      <c r="T37" s="150" t="str">
        <f ca="1">IF($R$9="設定しない","",IF(INDIRECT($Y$5)="無","","円"))</f>
        <v/>
      </c>
    </row>
    <row r="38" spans="1:38" ht="12.75" customHeight="1" x14ac:dyDescent="0.2">
      <c r="A38" s="53"/>
      <c r="D38" s="150" t="str">
        <f ca="1">IF($R$9="設定しない","",IF($X$6="","",IF(INDIRECT($Y$6)="無","",$X$6)))</f>
        <v/>
      </c>
      <c r="H38" s="150" t="str">
        <f ca="1">IF($R$9="設定しない","",IF($X$6="","",IF(INDIRECT($Y$6)="無","",VLOOKUP("○",INDIRECT($Z$6),5,0))))</f>
        <v/>
      </c>
      <c r="I38" s="150" t="str">
        <f ca="1">IF($R$9="設定しない","",IF($X$6="","",IF(INDIRECT($Y$6)="無","","メートルまで")))</f>
        <v/>
      </c>
      <c r="S38" s="150" t="str">
        <f ca="1">IF($R$9="設定しない","",IF($X$6="","",IF(INDIRECT($Y$6)="無","",VLOOKUP("○",INDIRECT($Z$6),7,0))))</f>
        <v/>
      </c>
      <c r="T38" s="150" t="str">
        <f ca="1">IF($R$9="設定しない","",IF($X$6="","",IF(INDIRECT($Y$6)="無","","円")))</f>
        <v/>
      </c>
    </row>
    <row r="39" spans="1:38" ht="12.75" customHeight="1" x14ac:dyDescent="0.2">
      <c r="A39" s="53"/>
    </row>
    <row r="40" spans="1:38" ht="12.75" customHeight="1" x14ac:dyDescent="0.2">
      <c r="B40" s="175" t="str">
        <f>IF($R$9="設定しない","","(3)")</f>
        <v>(3)</v>
      </c>
      <c r="C40" s="53" t="str">
        <f>IF(R9="設定しない","","時間距離併用運賃")</f>
        <v>時間距離併用運賃</v>
      </c>
      <c r="Z40" s="178"/>
    </row>
    <row r="41" spans="1:38" ht="12.75" customHeight="1" x14ac:dyDescent="0.2">
      <c r="B41" s="53"/>
      <c r="D41" s="150" t="str">
        <f ca="1">IF($R$9="設定しない","",IF(INDIRECT($Y$3)="無","",$X$3))</f>
        <v/>
      </c>
      <c r="H41" s="150" t="str">
        <f ca="1">IF($R$9="設定しない","",IF(INDIRECT($Y$3)="無","","時速10キロメートル以下の運行時間について"))</f>
        <v/>
      </c>
    </row>
    <row r="42" spans="1:38" ht="12.75" customHeight="1" x14ac:dyDescent="0.2">
      <c r="B42" s="53"/>
      <c r="K42" s="150" t="str">
        <f ca="1">IF($R$9="設定しない","",IF(INDIRECT($Y$3)="無","",VLOOKUP("○",INDIRECT($Z$3),9,0)))</f>
        <v/>
      </c>
      <c r="L42" s="150" t="str">
        <f ca="1">IF($R$9="設定しない","",IF(INDIRECT($Y$3)="無","","分"))</f>
        <v/>
      </c>
      <c r="M42" s="150" t="str">
        <f ca="1">IF($R$9="設定しない","",IF(INDIRECT($Y$3)="無","",VLOOKUP("○",INDIRECT($Z$3),11,0)))</f>
        <v/>
      </c>
      <c r="N42" s="150" t="str">
        <f ca="1">IF($R$9="設定しない","",IF(INDIRECT($Y$3)="無","","秒間までごとに"))</f>
        <v/>
      </c>
      <c r="S42" s="150" t="str">
        <f ca="1">IF($R$9="設定しない","",IF(INDIRECT($Y$3)="無","",VLOOKUP("○",INDIRECT($Z$3),13,0)))</f>
        <v/>
      </c>
      <c r="T42" s="150" t="str">
        <f ca="1">IF($R$9="設定しない","",IF(INDIRECT($Y$3)="無","","円"))</f>
        <v/>
      </c>
    </row>
    <row r="43" spans="1:38" ht="12.75" customHeight="1" x14ac:dyDescent="0.2">
      <c r="A43" s="53"/>
      <c r="D43" s="150" t="str">
        <f ca="1">IF($R$9="設定しない","",IF(INDIRECT($Y$4)="無","",$X$4))</f>
        <v/>
      </c>
      <c r="H43" s="150" t="str">
        <f ca="1">IF($R$9="設定しない","",IF(INDIRECT($Y$4)="無","","時速10キロメートル以下の運行時間について"))</f>
        <v/>
      </c>
    </row>
    <row r="44" spans="1:38" ht="12.75" customHeight="1" x14ac:dyDescent="0.2">
      <c r="A44" s="53"/>
      <c r="K44" s="150" t="str">
        <f ca="1">IF($R$9="設定しない","",IF(INDIRECT($Y$4)="無","",VLOOKUP("○",INDIRECT($Z$4),9,0)))</f>
        <v/>
      </c>
      <c r="L44" s="150" t="str">
        <f ca="1">IF($R$9="設定しない","",IF(INDIRECT($Y$4)="無","","分"))</f>
        <v/>
      </c>
      <c r="M44" s="150" t="str">
        <f ca="1">IF($R$9="設定しない","",IF(INDIRECT($Y$4)="無","",VLOOKUP("○",INDIRECT($Z$4),11,0)))</f>
        <v/>
      </c>
      <c r="N44" s="150" t="str">
        <f ca="1">IF($R$9="設定しない","",IF(INDIRECT($Y$4)="無","","秒間までごとに"))</f>
        <v/>
      </c>
      <c r="S44" s="150" t="str">
        <f ca="1">IF($R$9="設定しない","",IF(INDIRECT($Y$4)="無","",VLOOKUP("○",INDIRECT($Z$4),13,0)))</f>
        <v/>
      </c>
      <c r="T44" s="150" t="str">
        <f ca="1">IF($R$9="設定しない","",IF(INDIRECT($Y$4)="無","","円"))</f>
        <v/>
      </c>
    </row>
    <row r="45" spans="1:38" ht="12.75" customHeight="1" x14ac:dyDescent="0.2">
      <c r="A45" s="53"/>
      <c r="D45" s="150" t="str">
        <f ca="1">IF($R$9="設定しない","",IF(INDIRECT($Y$5)="無","",$X$5))</f>
        <v/>
      </c>
      <c r="H45" s="150" t="str">
        <f ca="1">IF($R$9="設定しない","",IF(INDIRECT($Y$5)="無","","時速10キロメートル以下の運行時間について"))</f>
        <v/>
      </c>
    </row>
    <row r="46" spans="1:38" ht="12.75" customHeight="1" x14ac:dyDescent="0.2">
      <c r="A46" s="53"/>
      <c r="K46" s="150" t="str">
        <f ca="1">IF($R$9="設定しない","",IF(INDIRECT($Y$5)="無","",VLOOKUP("○",INDIRECT($Z$5),9,0)))</f>
        <v/>
      </c>
      <c r="L46" s="150" t="str">
        <f ca="1">IF($R$9="設定しない","",IF(INDIRECT($Y$5)="無","","分"))</f>
        <v/>
      </c>
      <c r="M46" s="150" t="str">
        <f ca="1">IF($R$9="設定しない","",IF(INDIRECT($Y$5)="無","",VLOOKUP("○",INDIRECT($Z$5),11,0)))</f>
        <v/>
      </c>
      <c r="N46" s="150" t="str">
        <f ca="1">IF($R$9="設定しない","",IF(INDIRECT($Y$5)="無","","秒間までごとに"))</f>
        <v/>
      </c>
      <c r="S46" s="150" t="str">
        <f ca="1">IF($R$9="設定しない","",IF(INDIRECT($Y$5)="無","",VLOOKUP("○",INDIRECT($Z$5),13,0)))</f>
        <v/>
      </c>
      <c r="T46" s="150" t="str">
        <f ca="1">IF($R$9="設定しない","",IF(INDIRECT($Y$5)="無","","円"))</f>
        <v/>
      </c>
    </row>
    <row r="47" spans="1:38" ht="12.75" customHeight="1" x14ac:dyDescent="0.2">
      <c r="A47" s="53"/>
      <c r="D47" s="150" t="str">
        <f ca="1">IF($R$9="設定しない","",IF($X$6="","",IF(INDIRECT($Y$6)="無","",$X$6)))</f>
        <v/>
      </c>
      <c r="H47" s="150" t="str">
        <f ca="1">IF($R$9="設定しない","",IF($X$6="","",IF(INDIRECT($Y$6)="無","","時速10キロメートル以下の運行時間について")))</f>
        <v/>
      </c>
    </row>
    <row r="48" spans="1:38" ht="12.75" customHeight="1" x14ac:dyDescent="0.2">
      <c r="A48" s="53"/>
      <c r="K48" s="150" t="str">
        <f ca="1">IF($R$9="設定しない","",IF($X$6="","",IF(INDIRECT($Y$6)="無","",VLOOKUP("○",INDIRECT($Z$6),9,0))))</f>
        <v/>
      </c>
      <c r="L48" s="150" t="str">
        <f ca="1">IF($R$9="設定しない","",IF($X$6="","",IF(INDIRECT($Y$6)="無","","分")))</f>
        <v/>
      </c>
      <c r="M48" s="150" t="str">
        <f ca="1">IF($R$9="設定しない","",IF($X$6="","",IF(INDIRECT($Y$6)="無","",VLOOKUP("○",INDIRECT($Z$6),11,0))))</f>
        <v/>
      </c>
      <c r="N48" s="150" t="str">
        <f ca="1">IF($R$9="設定しない","",IF($X$6="","",IF(INDIRECT($Y$6)="無","","秒間までごとに")))</f>
        <v/>
      </c>
      <c r="S48" s="150" t="str">
        <f ca="1">IF($R$9="設定しない","",IF($X$6="","",IF(INDIRECT($Y$6)="無","",VLOOKUP("○",INDIRECT($Z$6),13,0))))</f>
        <v/>
      </c>
      <c r="T48" s="150" t="str">
        <f ca="1">IF($R$9="設定しない","",IF($X$6="","",IF(INDIRECT($Y$6)="無","","円")))</f>
        <v/>
      </c>
      <c r="Z48" s="178"/>
    </row>
    <row r="49" spans="1:26" ht="12.75" customHeight="1" x14ac:dyDescent="0.2">
      <c r="A49" s="53"/>
    </row>
    <row r="50" spans="1:26" ht="12.75" customHeight="1" x14ac:dyDescent="0.2">
      <c r="A50" s="53" t="s">
        <v>28</v>
      </c>
      <c r="B50" s="175" t="str">
        <f>IF($R$9="設定しない","","(4)")</f>
        <v>(4)</v>
      </c>
      <c r="C50" s="150" t="str">
        <f>IF(R9="設定しない","","運賃の割増及び割引")</f>
        <v>運賃の割増及び割引</v>
      </c>
    </row>
    <row r="51" spans="1:26" ht="12.75" customHeight="1" x14ac:dyDescent="0.2">
      <c r="A51" s="53"/>
      <c r="D51" s="150" t="str">
        <f>IF($R$9="設定しない","","深夜及び早朝割増")</f>
        <v>深夜及び早朝割増</v>
      </c>
      <c r="R51" s="150" t="str">
        <f>IF($R$9="設定しない","","２　割　増")</f>
        <v>２　割　増</v>
      </c>
      <c r="T51" s="179"/>
    </row>
    <row r="52" spans="1:26" ht="12.75" customHeight="1" x14ac:dyDescent="0.2">
      <c r="A52" s="53"/>
      <c r="D52" s="150" t="str">
        <f>IF($R$9="設定しない","","身体障害者割引")</f>
        <v>身体障害者割引</v>
      </c>
      <c r="R52" s="150" t="str">
        <f>IF($R$9="設定しない","","１　割　引")</f>
        <v>１　割　引</v>
      </c>
    </row>
    <row r="53" spans="1:26" ht="12.75" customHeight="1" x14ac:dyDescent="0.2">
      <c r="A53" s="53"/>
      <c r="D53" s="150" t="str">
        <f>IF($R$9="設定しない","","知的障害者割引")</f>
        <v>知的障害者割引</v>
      </c>
      <c r="R53" s="150" t="str">
        <f>IF($R$9="設定しない","","１　割　引")</f>
        <v>１　割　引</v>
      </c>
    </row>
    <row r="54" spans="1:26" ht="12.75" customHeight="1" x14ac:dyDescent="0.2">
      <c r="A54" s="53"/>
      <c r="D54" s="150" t="str">
        <f>IF($R$9="設定しない","",IF(R54="","","精神障害者割引"))</f>
        <v/>
      </c>
      <c r="R54" s="150" t="str">
        <f>IF($R$9="設定しない","",IF(手引き!B43="設定する","１　割　引",""))</f>
        <v/>
      </c>
    </row>
    <row r="55" spans="1:26" ht="12.75" customHeight="1" x14ac:dyDescent="0.2">
      <c r="A55" s="53"/>
      <c r="D55" s="150" t="str">
        <f>IF($R$9="設定しない","",IF(R55="","","高齢者割引(65歳以上)"))</f>
        <v/>
      </c>
      <c r="G55" s="180"/>
      <c r="R55" s="150" t="str">
        <f>IF($R$9="設定しない","",IF(手引き!B44="設定する","１　割　引",""))</f>
        <v/>
      </c>
    </row>
    <row r="56" spans="1:26" ht="12.75" customHeight="1" x14ac:dyDescent="0.2">
      <c r="A56" s="53"/>
      <c r="D56" s="150" t="str">
        <f>IF($R$9="設定しない","",IF(R56="","","運転免許証返納者割引"))</f>
        <v/>
      </c>
      <c r="R56" s="150" t="str">
        <f>IF($R$9="設定しない","",IF(手引き!B45="設定する","１　割　引",""))</f>
        <v/>
      </c>
      <c r="Z56" s="178"/>
    </row>
    <row r="57" spans="1:26" ht="12.75" customHeight="1" x14ac:dyDescent="0.2">
      <c r="A57" s="53"/>
    </row>
    <row r="58" spans="1:26" ht="12.75" customHeight="1" x14ac:dyDescent="0.2">
      <c r="A58" s="169" t="s">
        <v>205</v>
      </c>
      <c r="R58" s="150" t="str">
        <f>IF(手引き!C40="○","設定しない","")</f>
        <v/>
      </c>
    </row>
    <row r="59" spans="1:26" ht="12.75" customHeight="1" x14ac:dyDescent="0.2">
      <c r="A59" s="169"/>
      <c r="C59" s="173" t="str">
        <f>IF($R$9="設定しない","",IF(手引き!F36="","",IF(手引き!$C$35="○","特定大型車　　　　　　１回")))</f>
        <v/>
      </c>
      <c r="R59" s="262" t="str">
        <f>IF(手引き!F36="","",手引き!F36)</f>
        <v/>
      </c>
      <c r="S59" s="262"/>
      <c r="T59" s="150" t="str">
        <f>IF(R59="","","円")</f>
        <v/>
      </c>
    </row>
    <row r="60" spans="1:26" ht="12.75" customHeight="1" x14ac:dyDescent="0.2">
      <c r="A60" s="53"/>
      <c r="C60" s="53" t="str">
        <f>IF($R$9="設定しない","",IF(手引き!C34="○","迎車のための回送距離について初乗距離を限度として実車扱いとし、",IF(手引き!F37="","","大型車　　　　　　　　１回")))</f>
        <v/>
      </c>
      <c r="R60" s="262" t="str">
        <f>IF(手引き!F37="","",手引き!F37)</f>
        <v/>
      </c>
      <c r="S60" s="262"/>
      <c r="T60" s="150" t="str">
        <f>IF(R60="","","円")</f>
        <v/>
      </c>
    </row>
    <row r="61" spans="1:26" ht="12.75" customHeight="1" x14ac:dyDescent="0.2">
      <c r="A61" s="53"/>
      <c r="C61" s="150" t="str">
        <f>IF($R$9="設定しない","",IF(手引き!C34="○","初乗運賃額を限度とする。",IF(手引き!F38="","","普通車　　　　　　　　１回")))</f>
        <v/>
      </c>
      <c r="R61" s="262" t="str">
        <f>IF(手引き!F38="","",手引き!F38)</f>
        <v/>
      </c>
      <c r="S61" s="262"/>
      <c r="T61" s="150" t="str">
        <f>IF(R61="","","円")</f>
        <v/>
      </c>
    </row>
    <row r="62" spans="1:26" ht="12.75" customHeight="1" x14ac:dyDescent="0.2">
      <c r="A62" s="53"/>
      <c r="C62" s="173" t="str">
        <f>IF($R$9="設定しない","",IF(手引き!F39="","",IF(手引き!$C$35="○","小型車　　　　　　　　１回")))</f>
        <v/>
      </c>
      <c r="R62" s="262" t="str">
        <f>IF(手引き!F39="","",手引き!F39)</f>
        <v/>
      </c>
      <c r="S62" s="262"/>
      <c r="T62" s="150" t="str">
        <f>IF(R62="","","円")</f>
        <v/>
      </c>
    </row>
    <row r="63" spans="1:26" ht="12.75" customHeight="1" x14ac:dyDescent="0.2">
      <c r="A63" s="171" t="s">
        <v>194</v>
      </c>
    </row>
    <row r="64" spans="1:26" ht="18.600000000000001" customHeight="1" x14ac:dyDescent="0.2">
      <c r="A64" s="171"/>
      <c r="B64" s="172">
        <f>IF(OR(U64=0,U64=""),"",VLOOKUP(COUNTIF($U$64:$U$64,"・"),名前2!B50:B99,1,0))</f>
        <v>1</v>
      </c>
      <c r="C64" s="263" t="str">
        <f>IF($R$9="設定しない","特定地域及び準特定地域における一般乗用旅客自動車運送事業の適性化及び活性化に関する特別措置法（平成21年法律第64号。以下「法」という。）による特定地域及び準特定地域（福祉輸送サービスを行う場合を除く。）","法による特定地域及び準特定地域（福祉輸送サービスを行う場合を除く。)")</f>
        <v>法による特定地域及び準特定地域（福祉輸送サービスを行う場合を除く。)</v>
      </c>
      <c r="D64" s="263"/>
      <c r="E64" s="263"/>
      <c r="F64" s="263"/>
      <c r="G64" s="263"/>
      <c r="H64" s="263"/>
      <c r="I64" s="263"/>
      <c r="J64" s="263"/>
      <c r="K64" s="263"/>
      <c r="L64" s="263"/>
      <c r="M64" s="263"/>
      <c r="N64" s="263"/>
      <c r="O64" s="263"/>
      <c r="P64" s="263"/>
      <c r="Q64" s="263"/>
      <c r="R64" s="263"/>
      <c r="S64" s="263"/>
      <c r="T64" s="263"/>
      <c r="U64" s="173" t="str">
        <f>IF(C64="","","・")</f>
        <v>・</v>
      </c>
    </row>
    <row r="65" spans="1:22" ht="12.75" customHeight="1" x14ac:dyDescent="0.2">
      <c r="A65" s="171"/>
      <c r="C65" s="263"/>
      <c r="D65" s="263"/>
      <c r="E65" s="263"/>
      <c r="F65" s="263"/>
      <c r="G65" s="263"/>
      <c r="H65" s="263"/>
      <c r="I65" s="263"/>
      <c r="J65" s="263"/>
      <c r="K65" s="263"/>
      <c r="L65" s="263"/>
      <c r="M65" s="263"/>
      <c r="N65" s="263"/>
      <c r="O65" s="263"/>
      <c r="P65" s="263"/>
      <c r="Q65" s="263"/>
      <c r="R65" s="263"/>
      <c r="S65" s="263"/>
      <c r="T65" s="263"/>
    </row>
    <row r="66" spans="1:22" ht="12.75" customHeight="1" x14ac:dyDescent="0.2">
      <c r="A66" s="171"/>
      <c r="C66" s="263"/>
      <c r="D66" s="263"/>
      <c r="E66" s="263"/>
      <c r="F66" s="263"/>
      <c r="G66" s="263"/>
      <c r="H66" s="263"/>
      <c r="I66" s="263"/>
      <c r="J66" s="263"/>
      <c r="K66" s="263"/>
      <c r="L66" s="263"/>
      <c r="M66" s="263"/>
      <c r="N66" s="263"/>
      <c r="O66" s="263"/>
      <c r="P66" s="263"/>
      <c r="Q66" s="263"/>
      <c r="R66" s="263"/>
      <c r="S66" s="263"/>
      <c r="T66" s="263"/>
    </row>
    <row r="67" spans="1:22" ht="12.75" customHeight="1" x14ac:dyDescent="0.2">
      <c r="A67" s="171"/>
    </row>
    <row r="68" spans="1:22" ht="12.75" customHeight="1" x14ac:dyDescent="0.2">
      <c r="A68" s="171"/>
      <c r="B68" s="181" t="s">
        <v>400</v>
      </c>
      <c r="C68" s="150" t="s">
        <v>395</v>
      </c>
    </row>
    <row r="69" spans="1:22" ht="12.75" customHeight="1" x14ac:dyDescent="0.2">
      <c r="A69" s="171"/>
      <c r="C69" s="150" t="s">
        <v>396</v>
      </c>
    </row>
    <row r="70" spans="1:22" ht="12.75" customHeight="1" x14ac:dyDescent="0.2">
      <c r="A70" s="171"/>
    </row>
    <row r="71" spans="1:22" ht="12.75" customHeight="1" x14ac:dyDescent="0.2">
      <c r="A71" s="171"/>
      <c r="B71" s="181" t="s">
        <v>401</v>
      </c>
      <c r="C71" s="150" t="s">
        <v>394</v>
      </c>
    </row>
    <row r="72" spans="1:22" ht="12.75" customHeight="1" x14ac:dyDescent="0.2">
      <c r="A72" s="171"/>
      <c r="C72" s="150" t="s">
        <v>407</v>
      </c>
    </row>
    <row r="73" spans="1:22" ht="12.75" customHeight="1" x14ac:dyDescent="0.2">
      <c r="A73" s="171"/>
    </row>
    <row r="74" spans="1:22" ht="12.75" customHeight="1" x14ac:dyDescent="0.2">
      <c r="A74" s="171"/>
      <c r="B74" s="182" t="s">
        <v>132</v>
      </c>
      <c r="C74" s="150" t="s">
        <v>397</v>
      </c>
    </row>
    <row r="75" spans="1:22" ht="12.75" customHeight="1" x14ac:dyDescent="0.2">
      <c r="A75" s="171"/>
      <c r="B75" s="181" t="s">
        <v>400</v>
      </c>
      <c r="C75" s="183" t="str">
        <f>IF(W79=0,"運 　 賃","初乗運賃")</f>
        <v>運 　 賃</v>
      </c>
    </row>
    <row r="76" spans="1:22" ht="12.75" customHeight="1" x14ac:dyDescent="0.2">
      <c r="A76" s="171"/>
      <c r="B76" s="183"/>
      <c r="D76" s="150" t="str">
        <f ca="1">IF(INDIRECT($AD$3)="無","",$AC$3)</f>
        <v/>
      </c>
      <c r="H76" s="150" t="str">
        <f ca="1">IF(INDIRECT($AD$3)="無","",$AF$2*手引き!$N$44)</f>
        <v/>
      </c>
      <c r="I76" s="150" t="str">
        <f ca="1">IF(INDIRECT($AD$3)="無","",IF(V79=0,"分間までごとに","分間まで"))</f>
        <v/>
      </c>
      <c r="R76" s="264" t="str">
        <f ca="1">IF(INDIRECT($AD$3)="無","",ROUNDDOWN(VLOOKUP("○",INDIRECT($AE$3),3,0)*手引き!$N$44,-1))</f>
        <v/>
      </c>
      <c r="S76" s="264"/>
      <c r="T76" s="150" t="str">
        <f ca="1">IF(INDIRECT($AD$3)="無","","円")</f>
        <v/>
      </c>
    </row>
    <row r="77" spans="1:22" ht="12.75" customHeight="1" x14ac:dyDescent="0.2">
      <c r="A77" s="171"/>
      <c r="B77" s="184"/>
      <c r="D77" s="150" t="str">
        <f ca="1">IF(INDIRECT($AD$4)="無","",$AC$4)</f>
        <v/>
      </c>
      <c r="H77" s="150" t="str">
        <f ca="1">IF(INDIRECT($AD$4)="無","",$AF$2*手引き!$N$44)</f>
        <v/>
      </c>
      <c r="I77" s="150" t="str">
        <f ca="1">IF(INDIRECT($AD$4)="無","",IF(V79=0,"分間までごとに","分間まで"))</f>
        <v/>
      </c>
      <c r="R77" s="264" t="str">
        <f ca="1">IF(INDIRECT($AD$4)="無","",ROUNDDOWN(VLOOKUP("○",INDIRECT($AE$4),3,0)*手引き!$N$44,-1))</f>
        <v/>
      </c>
      <c r="S77" s="264"/>
      <c r="T77" s="150" t="str">
        <f ca="1">IF(INDIRECT($AD$4)="無","","円")</f>
        <v/>
      </c>
    </row>
    <row r="78" spans="1:22" ht="12.75" customHeight="1" x14ac:dyDescent="0.2">
      <c r="A78" s="171"/>
      <c r="B78" s="184"/>
      <c r="D78" s="150" t="str">
        <f ca="1">IF(INDIRECT($AD$5)="無","",$AC$5)</f>
        <v/>
      </c>
      <c r="H78" s="150" t="str">
        <f ca="1">IF(INDIRECT($AD$5)="無","",$AF$2*手引き!$N$44)</f>
        <v/>
      </c>
      <c r="I78" s="150" t="str">
        <f ca="1">IF(INDIRECT($AD$5)="無","",IF(V79=0,"分間までごとに","分間まで"))</f>
        <v/>
      </c>
      <c r="R78" s="264" t="str">
        <f ca="1">IF(INDIRECT($AD$5)="無","",ROUNDDOWN(VLOOKUP("○",INDIRECT($AE$5),3,0)*手引き!$N$44,-1))</f>
        <v/>
      </c>
      <c r="S78" s="264"/>
      <c r="T78" s="150" t="str">
        <f ca="1">IF(INDIRECT($AD$5)="無","","円")</f>
        <v/>
      </c>
    </row>
    <row r="79" spans="1:22" ht="12.75" customHeight="1" x14ac:dyDescent="0.2">
      <c r="A79" s="53"/>
      <c r="B79" s="184"/>
      <c r="D79" s="150" t="str">
        <f ca="1">IF(V79=0,"",IF(INDIRECT($AD$4)="無","",$AC$4))</f>
        <v/>
      </c>
      <c r="H79" s="150" t="str">
        <f ca="1">IF(V79=0,"",IF(INDIRECT($AD$4)="無","",$AH$2*手引き!$N$45))</f>
        <v/>
      </c>
      <c r="I79" s="150" t="str">
        <f ca="1">IF(V79=0,"",IF(INDIRECT($AD$4)="無","","分間までごとに"))</f>
        <v/>
      </c>
      <c r="R79" s="264" t="str">
        <f ca="1">IF(V79=0,"",IF(INDIRECT($AD$4)="無","",IF($AJ$2=0,ROUNDDOWN(VLOOKUP("○",INDIRECT($AE$4),3,0)*手引き!$N$45,-1),ROUNDDOWN(VLOOKUP("○",INDIRECT($AE$4),5,0)*手引き!$N$45,-1))))</f>
        <v/>
      </c>
      <c r="S79" s="264"/>
      <c r="T79" s="150" t="str">
        <f ca="1">IF(V79=0,"",IF(INDIRECT($AD$4)="無","","円"))</f>
        <v/>
      </c>
      <c r="V79" s="150">
        <f>$AF$2*手引き!$N$44-$AH$2*手引き!$N$45</f>
        <v>0</v>
      </c>
    </row>
    <row r="80" spans="1:22" ht="15" customHeight="1" x14ac:dyDescent="0.2">
      <c r="B80" s="181" t="s">
        <v>401</v>
      </c>
      <c r="C80" s="183" t="s">
        <v>47</v>
      </c>
      <c r="V80" s="53"/>
    </row>
    <row r="81" spans="1:39" ht="15" customHeight="1" x14ac:dyDescent="0.2">
      <c r="A81" s="53" t="s">
        <v>43</v>
      </c>
      <c r="D81" s="150" t="s">
        <v>31</v>
      </c>
      <c r="R81" s="150" t="s">
        <v>44</v>
      </c>
      <c r="V81" s="53"/>
      <c r="Z81" s="178"/>
    </row>
    <row r="82" spans="1:39" ht="15" customHeight="1" x14ac:dyDescent="0.2">
      <c r="A82" s="53"/>
      <c r="D82" s="150" t="s">
        <v>30</v>
      </c>
      <c r="R82" s="150" t="s">
        <v>44</v>
      </c>
    </row>
    <row r="83" spans="1:39" ht="15" customHeight="1" x14ac:dyDescent="0.2">
      <c r="A83" s="53"/>
      <c r="D83" s="150" t="str">
        <f>IF(手引き!$Q$52="S","精神障害者割引","")</f>
        <v/>
      </c>
      <c r="R83" s="150" t="str">
        <f>IF(D83="精神障害者割引","１　割　引","")</f>
        <v/>
      </c>
    </row>
    <row r="84" spans="1:39" ht="15" customHeight="1" x14ac:dyDescent="0.2">
      <c r="A84" s="53"/>
      <c r="D84" s="150" t="str">
        <f>IF(手引き!$Q$53="高","高齢者割引(65歳以上)","")</f>
        <v/>
      </c>
      <c r="R84" s="150" t="str">
        <f>IF(D84="高齢者割引(65歳以上)","１　割　引","")</f>
        <v/>
      </c>
    </row>
    <row r="85" spans="1:39" ht="15" customHeight="1" x14ac:dyDescent="0.2">
      <c r="A85" s="53"/>
      <c r="D85" s="150" t="str">
        <f>IF(手引き!$Q$54="免許返納","運転免許証返納割引","")</f>
        <v/>
      </c>
      <c r="R85" s="150" t="str">
        <f>IF(D85="運転免許証返納割引","１　割　引","")</f>
        <v/>
      </c>
    </row>
    <row r="86" spans="1:39" ht="15" customHeight="1" x14ac:dyDescent="0.2"/>
    <row r="87" spans="1:39" ht="15" customHeight="1" x14ac:dyDescent="0.2">
      <c r="A87" s="185" t="s">
        <v>383</v>
      </c>
    </row>
    <row r="88" spans="1:39" ht="15.75" customHeight="1" x14ac:dyDescent="0.2">
      <c r="B88" s="186" t="s">
        <v>402</v>
      </c>
      <c r="Z88" s="178"/>
    </row>
    <row r="89" spans="1:39" ht="15.75" customHeight="1" x14ac:dyDescent="0.2">
      <c r="D89" s="150" t="str">
        <f>IF(HLOOKUP($X$8,名前2!C:J,2,0)=0,"",HLOOKUP($X$8,名前2!C:J,2,0))</f>
        <v>特定大型車</v>
      </c>
      <c r="H89" s="150" t="str">
        <f>IF(INDEX(手引き!$AL:$AS,V101,MATCH($X$8,手引き!$AL$1:$AS$1,0)+1)=0,"",INDEX(手引き!$AL:$AS,V101,MATCH($X$8,手引き!$AL$1:$AS$1,0)+1))</f>
        <v>道路運送車両法施行規則第２条に定める普通自動車（以下</v>
      </c>
    </row>
    <row r="90" spans="1:39" ht="14.25" customHeight="1" x14ac:dyDescent="0.2">
      <c r="D90" s="150" t="str">
        <f>IF(HLOOKUP($X$8,名前2!C:J,3,0)=0,"",HLOOKUP($X$8,名前2!C:J,3,0))</f>
        <v/>
      </c>
      <c r="H90" s="150" t="str">
        <f>IF(INDEX(手引き!$AL:$AS,V102,MATCH($X$8,手引き!$AL$1:$AS$1,0)+1)=0,"",INDEX(手引き!$AL:$AS,V102,MATCH($X$8,手引き!$AL$1:$AS$1,0)+1))</f>
        <v>「普通自動車」という。）又は小型自動車（以下「小型</v>
      </c>
      <c r="AL90" s="187"/>
      <c r="AM90" s="187"/>
    </row>
    <row r="91" spans="1:39" ht="14.25" customHeight="1" x14ac:dyDescent="0.2">
      <c r="D91" s="150" t="str">
        <f>IF(HLOOKUP($X$8,名前2!C:J,4,0)=0,"",HLOOKUP($X$8,名前2!C:J,4,0))</f>
        <v/>
      </c>
      <c r="H91" s="150" t="str">
        <f>IF(INDEX(手引き!$AL:$AS,V103,MATCH($X$8,手引き!$AL$1:$AS$1,0)+1)=0,"",INDEX(手引き!$AL:$AS,V103,MATCH($X$8,手引き!$AL$1:$AS$1,0)+1))</f>
        <v>自動車」という。）のうち乗車定員が９名以上のもの。</v>
      </c>
      <c r="AL91" s="187"/>
      <c r="AM91" s="187"/>
    </row>
    <row r="92" spans="1:39" ht="14.25" customHeight="1" x14ac:dyDescent="0.2">
      <c r="D92" s="150" t="str">
        <f>IF(HLOOKUP($X$8,名前2!C:J,5,0)=0,"",HLOOKUP($X$8,名前2!C:J,5,0))</f>
        <v>大　型　車</v>
      </c>
      <c r="H92" s="150" t="str">
        <f>IF(INDEX(手引き!$AL:$AS,V104,MATCH($X$8,手引き!$AL$1:$AS$1,0)+1)=0,"",INDEX(手引き!$AL:$AS,V104,MATCH($X$8,手引き!$AL$1:$AS$1,0)+1))</f>
        <v>以下のいずれかに該当する自動車。</v>
      </c>
      <c r="AL92" s="187"/>
      <c r="AM92" s="187"/>
    </row>
    <row r="93" spans="1:39" ht="14.25" customHeight="1" x14ac:dyDescent="0.2">
      <c r="D93" s="150" t="str">
        <f>IF(HLOOKUP($X$8,名前2!C:J,6,0)=0,"",HLOOKUP($X$8,名前2!C:J,6,0))</f>
        <v/>
      </c>
      <c r="H93" s="150" t="str">
        <f>IF(INDEX(手引き!$AL:$AS,V105,MATCH($X$8,手引き!$AL$1:$AS$1,0)+1)=0,"",INDEX(手引き!$AL:$AS,V105,MATCH($X$8,手引き!$AL$1:$AS$1,0)+1))</f>
        <v>一　普通自動車のうち排気量が２リットルを超えるもので</v>
      </c>
      <c r="AL93" s="187"/>
      <c r="AM93" s="187"/>
    </row>
    <row r="94" spans="1:39" ht="14.25" customHeight="1" x14ac:dyDescent="0.2">
      <c r="D94" s="150" t="str">
        <f>IF(HLOOKUP($X$8,名前2!C:J,7,0)=0,"",HLOOKUP($X$8,名前2!C:J,7,0))</f>
        <v/>
      </c>
      <c r="H94" s="150" t="str">
        <f>IF(INDEX(手引き!$AL:$AS,V106,MATCH($X$8,手引き!$AL$1:$AS$1,0)+1)=0,"",INDEX(手引き!$AL:$AS,V106,MATCH($X$8,手引き!$AL$1:$AS$1,0)+1))</f>
        <v>あって乗車定員が７名以上のもの（特定大型車を除く。）。</v>
      </c>
      <c r="AL94" s="187"/>
      <c r="AM94" s="187"/>
    </row>
    <row r="95" spans="1:39" ht="14.25" customHeight="1" x14ac:dyDescent="0.2">
      <c r="D95" s="150" t="str">
        <f>IF(HLOOKUP($X$8,名前2!C:J,8,0)=0,"",HLOOKUP($X$8,名前2!C:J,8,0))</f>
        <v/>
      </c>
      <c r="H95" s="150" t="str">
        <f>IF(INDEX(手引き!$AL:$AS,V107,MATCH($X$8,手引き!$AL$1:$AS$1,0)+1)=0,"",INDEX(手引き!$AL:$AS,V107,MATCH($X$8,手引き!$AL$1:$AS$1,0)+1))</f>
        <v>二　普通自動車のうち排気量が２リットル（ハイブリッド</v>
      </c>
      <c r="AK95" s="187"/>
      <c r="AL95" s="187"/>
      <c r="AM95" s="187"/>
    </row>
    <row r="96" spans="1:39" ht="14.25" customHeight="1" x14ac:dyDescent="0.2">
      <c r="D96" s="150" t="str">
        <f>IF(HLOOKUP($X$8,名前2!C:J,9,0)=0,"",HLOOKUP($X$8,名前2!C:J,9,0))</f>
        <v/>
      </c>
      <c r="H96" s="150" t="str">
        <f>IF(INDEX(手引き!$AL:$AS,V108,MATCH($X$8,手引き!$AL$1:$AS$1,0)+1)=0,"",INDEX(手引き!$AL:$AS,V108,MATCH($X$8,手引き!$AL$1:$AS$1,0)+1))</f>
        <v>自動車にあっては２．５リットル。）を超えるもので</v>
      </c>
      <c r="Z96" s="178"/>
      <c r="AK96" s="187"/>
      <c r="AL96" s="187"/>
      <c r="AM96" s="187"/>
    </row>
    <row r="97" spans="4:39" ht="14.25" customHeight="1" x14ac:dyDescent="0.2">
      <c r="D97" s="150" t="str">
        <f>IF(HLOOKUP($X$8,名前2!C:J,10,0)=0,"",HLOOKUP($X$8,名前2!C:J,10,0))</f>
        <v/>
      </c>
      <c r="H97" s="150" t="str">
        <f>IF(INDEX(手引き!$AL:$AS,V109,MATCH($X$8,手引き!$AL$1:$AS$1,0)+1)=0,"",INDEX(手引き!$AL:$AS,V109,MATCH($X$8,手引き!$AL$1:$AS$1,0)+1))</f>
        <v>あって乗車定員が６名以下のもの。</v>
      </c>
      <c r="AK97" s="187"/>
      <c r="AL97" s="187"/>
      <c r="AM97" s="187"/>
    </row>
    <row r="98" spans="4:39" ht="14.25" customHeight="1" x14ac:dyDescent="0.2">
      <c r="D98" s="150" t="str">
        <f>IF(HLOOKUP($X$8,名前2!C:J,11,0)=0,"",HLOOKUP($X$8,名前2!C:J,11,0))</f>
        <v>普　通　車</v>
      </c>
      <c r="H98" s="150" t="str">
        <f>IF(INDEX(手引き!$AL:$AS,V110,MATCH($X$8,手引き!$AL$1:$AS$1,0)+1)=0,"",INDEX(手引き!$AL:$AS,V110,MATCH($X$8,手引き!$AL$1:$AS$1,0)+1))</f>
        <v>以下のいずれかに該当する自動車。</v>
      </c>
      <c r="AK98" s="187"/>
      <c r="AL98" s="187"/>
      <c r="AM98" s="187"/>
    </row>
    <row r="99" spans="4:39" ht="12.75" customHeight="1" x14ac:dyDescent="0.2">
      <c r="D99" s="150" t="str">
        <f>IF(HLOOKUP($X$8,名前2!C:J,12,0)=0,"",HLOOKUP($X$8,名前2!C:J,12,0))</f>
        <v/>
      </c>
      <c r="H99" s="150" t="str">
        <f>IF(INDEX(手引き!$AL:$AS,V111,MATCH($X$8,手引き!$AL$1:$AS$1,0)+1)=0,"",INDEX(手引き!$AL:$AS,V111,MATCH($X$8,手引き!$AL$1:$AS$1,0)+1))</f>
        <v>一　普通自動車又は小型自動車のうち特定大型車及び大型</v>
      </c>
      <c r="AK99" s="187"/>
      <c r="AL99" s="187"/>
      <c r="AM99" s="187"/>
    </row>
    <row r="100" spans="4:39" ht="12.75" customHeight="1" x14ac:dyDescent="0.2">
      <c r="D100" s="150" t="str">
        <f>IF(HLOOKUP($X$8,名前2!C:J,13,0)=0,"",HLOOKUP($X$8,名前2!C:J,13,0))</f>
        <v/>
      </c>
      <c r="H100" s="150" t="str">
        <f>IF(INDEX(手引き!$AL:$AS,V112,MATCH($X$8,手引き!$AL$1:$AS$1,0)+1)=0,"",INDEX(手引き!$AL:$AS,V112,MATCH($X$8,手引き!$AL$1:$AS$1,0)+1))</f>
        <v>車に該当する自動車以外のもの。</v>
      </c>
      <c r="AK100" s="187"/>
      <c r="AL100" s="187"/>
      <c r="AM100" s="187"/>
    </row>
    <row r="101" spans="4:39" ht="12.75" customHeight="1" x14ac:dyDescent="0.2">
      <c r="D101" s="150" t="str">
        <f>IF(HLOOKUP($X$8,名前2!C:J,14,0)=0,"",HLOOKUP($X$8,名前2!C:J,14,0))</f>
        <v/>
      </c>
      <c r="H101" s="150" t="str">
        <f>IF(INDEX(手引き!$AL:$AS,V113,MATCH($X$8,手引き!$AL$1:$AS$1,0)+1)=0,"",INDEX(手引き!$AL:$AS,V113,MATCH($X$8,手引き!$AL$1:$AS$1,0)+1))</f>
        <v>二　道路運送車両法施行規則第２条に定める軽自動車（</v>
      </c>
      <c r="V101" s="150">
        <v>2</v>
      </c>
      <c r="AK101" s="187"/>
      <c r="AL101" s="187"/>
      <c r="AM101" s="187"/>
    </row>
    <row r="102" spans="4:39" ht="12.75" customHeight="1" x14ac:dyDescent="0.2">
      <c r="D102" s="150" t="str">
        <f>IF(HLOOKUP($X$8,名前2!C:J,15,0)=0,"",HLOOKUP($X$8,名前2!C:J,15,0))</f>
        <v/>
      </c>
      <c r="H102" s="150" t="str">
        <f>IF(INDEX(手引き!$AL:$AS,V114,MATCH($X$8,手引き!$AL$1:$AS$1,0)+1)=0,"",INDEX(手引き!$AL:$AS,V114,MATCH($X$8,手引き!$AL$1:$AS$1,0)+1))</f>
        <v>以下「軽自動車」という。）のうち、内燃機関を搭載し</v>
      </c>
      <c r="V102" s="150">
        <v>3</v>
      </c>
      <c r="AK102" s="187"/>
      <c r="AL102" s="187"/>
      <c r="AM102" s="187"/>
    </row>
    <row r="103" spans="4:39" ht="12.75" customHeight="1" x14ac:dyDescent="0.2">
      <c r="D103" s="150" t="str">
        <f>IF(HLOOKUP($X$8,名前2!C:J,16,0)=0,"",HLOOKUP($X$8,名前2!C:J,16,0))</f>
        <v/>
      </c>
      <c r="H103" s="150" t="str">
        <f>IF(INDEX(手引き!$AL:$AS,V115,MATCH($X$8,手引き!$AL$1:$AS$1,0)+1)=0,"",INDEX(手引き!$AL:$AS,V115,MATCH($X$8,手引き!$AL$1:$AS$1,0)+1))</f>
        <v>ないもの又は福祉輸送サービスの用に供するものに限る。</v>
      </c>
      <c r="V103" s="150">
        <v>4</v>
      </c>
      <c r="AK103" s="187"/>
      <c r="AL103" s="187"/>
      <c r="AM103" s="187"/>
    </row>
    <row r="104" spans="4:39" ht="12.75" customHeight="1" x14ac:dyDescent="0.2">
      <c r="D104" s="150" t="str">
        <f>IF(HLOOKUP($X$8,名前2!C:J,17,0)=0,"",HLOOKUP($X$8,名前2!C:J,17,0))</f>
        <v/>
      </c>
      <c r="H104" s="150" t="str">
        <f>IF(INDEX(手引き!$AL:$AS,V116,MATCH($X$8,手引き!$AL$1:$AS$1,0)+1)=0,"",INDEX(手引き!$AL:$AS,V116,MATCH($X$8,手引き!$AL$1:$AS$1,0)+1))</f>
        <v>ただし、「タクシー事業における軽自動車の活用について」</v>
      </c>
      <c r="V104" s="150">
        <v>5</v>
      </c>
      <c r="Z104" s="178"/>
      <c r="AK104" s="187"/>
      <c r="AL104" s="187"/>
      <c r="AM104" s="187"/>
    </row>
    <row r="105" spans="4:39" ht="12.75" customHeight="1" x14ac:dyDescent="0.2">
      <c r="D105" s="150" t="str">
        <f>IF(HLOOKUP($X$8,名前2!C:J,18,0)=0,"",HLOOKUP($X$8,名前2!C:J,18,0))</f>
        <v/>
      </c>
      <c r="H105" s="150" t="str">
        <f>IF(INDEX(手引き!$AL:$AS,V117,MATCH($X$8,手引き!$AL$1:$AS$1,0)+1)=0,"",INDEX(手引き!$AL:$AS,V117,MATCH($X$8,手引き!$AL$1:$AS$1,0)+1))</f>
        <v>（令和８年６月１日付け国自旅第３７号）別紙１．に基</v>
      </c>
      <c r="V105" s="150">
        <v>6</v>
      </c>
      <c r="AK105" s="187"/>
      <c r="AL105" s="187"/>
      <c r="AM105" s="187"/>
    </row>
    <row r="106" spans="4:39" ht="12.75" customHeight="1" x14ac:dyDescent="0.2">
      <c r="D106" s="150" t="str">
        <f>IF(HLOOKUP($X$8,名前2!C:J,19,0)=0,"",HLOOKUP($X$8,名前2!C:J,19,0))</f>
        <v/>
      </c>
      <c r="H106" s="150" t="str">
        <f>IF(INDEX(手引き!$AL:$AS,V118,MATCH($X$8,手引き!$AL$1:$AS$1,0)+1)=0,"",INDEX(手引き!$AL:$AS,V118,MATCH($X$8,手引き!$AL$1:$AS$1,0)+1))</f>
        <v>づき近畿運輸局長が公示する地域においては、軽自動車と</v>
      </c>
      <c r="V106" s="150">
        <v>7</v>
      </c>
    </row>
    <row r="107" spans="4:39" ht="12.75" customHeight="1" x14ac:dyDescent="0.2">
      <c r="D107" s="150" t="str">
        <f>IF(HLOOKUP($X$8,名前2!C:J,20,0)=0,"",HLOOKUP($X$8,名前2!C:J,20,0))</f>
        <v/>
      </c>
      <c r="H107" s="150" t="str">
        <f>IF(INDEX(手引き!$AL:$AS,V119,MATCH($X$8,手引き!$AL$1:$AS$1,0)+1)=0,"",INDEX(手引き!$AL:$AS,V119,MATCH($X$8,手引き!$AL$1:$AS$1,0)+1))</f>
        <v>する。</v>
      </c>
      <c r="V107" s="150">
        <v>8</v>
      </c>
    </row>
    <row r="108" spans="4:39" ht="12.75" customHeight="1" x14ac:dyDescent="0.2">
      <c r="D108" s="150" t="str">
        <f>IF(HLOOKUP($X$8,名前2!C:J,21,0)=0,"",HLOOKUP($X$8,名前2!C:J,21,0))</f>
        <v>備　　　考　</v>
      </c>
      <c r="H108" s="150" t="str">
        <f>IF(INDEX(手引き!$AL:$AS,V120,MATCH($X$8,手引き!$AL$1:$AS$1,0)+1)=0,"",INDEX(手引き!$AL:$AS,V120,MATCH($X$8,手引き!$AL$1:$AS$1,0)+1))</f>
        <v>１　自動車検査証に記載されている諸元を基準とする。</v>
      </c>
      <c r="V108" s="150">
        <v>9</v>
      </c>
    </row>
    <row r="109" spans="4:39" ht="12.75" customHeight="1" x14ac:dyDescent="0.2">
      <c r="D109" s="150" t="str">
        <f>IF(HLOOKUP($X$8,名前2!C:J,22,0)=0,"",HLOOKUP($X$8,名前2!C:J,22,0))</f>
        <v/>
      </c>
      <c r="H109" s="150" t="str">
        <f>IF(INDEX(手引き!$AL:$AS,V121,MATCH($X$8,手引き!$AL$1:$AS$1,0)+1)=0,"",INDEX(手引き!$AL:$AS,V121,MATCH($X$8,手引き!$AL$1:$AS$1,0)+1))</f>
        <v>２　車体の形状が患者輸送車、車いす移動車又は身体障害</v>
      </c>
      <c r="V109" s="150">
        <v>10</v>
      </c>
    </row>
    <row r="110" spans="4:39" ht="12.75" customHeight="1" x14ac:dyDescent="0.2">
      <c r="D110" s="150" t="str">
        <f>IF(HLOOKUP($X$8,名前2!C:J,23,0)=0,"",HLOOKUP($X$8,名前2!C:J,23,0))</f>
        <v/>
      </c>
      <c r="H110" s="150" t="str">
        <f>IF(INDEX(手引き!$AL:$AS,V122,MATCH($X$8,手引き!$AL$1:$AS$1,0)+1)=0,"",INDEX(手引き!$AL:$AS,V122,MATCH($X$8,手引き!$AL$1:$AS$1,0)+1))</f>
        <v>者輸送車である特種自動車については、上記の車種区分に</v>
      </c>
      <c r="V110" s="150">
        <v>11</v>
      </c>
    </row>
    <row r="111" spans="4:39" ht="12.75" customHeight="1" x14ac:dyDescent="0.2">
      <c r="D111" s="150" t="str">
        <f>IF(HLOOKUP($X$8,名前2!C:J,24,0)=0,"",HLOOKUP($X$8,名前2!C:J,24,0))</f>
        <v/>
      </c>
      <c r="H111" s="150" t="str">
        <f>IF(INDEX(手引き!$AL:$AS,V123,MATCH($X$8,手引き!$AL$1:$AS$1,0)+1)=0,"",INDEX(手引き!$AL:$AS,V123,MATCH($X$8,手引き!$AL$1:$AS$1,0)+1))</f>
        <v>よらず、以下の区分を適用する。</v>
      </c>
      <c r="V111" s="150">
        <v>12</v>
      </c>
    </row>
    <row r="112" spans="4:39" ht="12.75" customHeight="1" x14ac:dyDescent="0.2">
      <c r="D112" s="150" t="str">
        <f>IF(HLOOKUP($X$8,名前2!C:J,25,0)=0,"",HLOOKUP($X$8,名前2!C:J,25,0))</f>
        <v/>
      </c>
      <c r="H112" s="150" t="str">
        <f>IF(INDEX(手引き!$AL:$AS,V124,MATCH($X$8,手引き!$AL$1:$AS$1,0)+1)=0,"",INDEX(手引き!$AL:$AS,V124,MATCH($X$8,手引き!$AL$1:$AS$1,0)+1))</f>
        <v>一　次号に掲げる自動車以外の自動車</v>
      </c>
      <c r="V112" s="150">
        <v>13</v>
      </c>
      <c r="Z112" s="178"/>
    </row>
    <row r="113" spans="4:26" ht="12.75" customHeight="1" x14ac:dyDescent="0.2">
      <c r="D113" s="150" t="str">
        <f>IF(HLOOKUP($X$8,名前2!C:J,26,0)=0,"",HLOOKUP($X$8,名前2!C:J,26,0))</f>
        <v/>
      </c>
      <c r="H113" s="150" t="str">
        <f>IF(INDEX(手引き!$AL:$AS,V125,MATCH($X$8,手引き!$AL$1:$AS$1,0)+1)=0,"",INDEX(手引き!$AL:$AS,V125,MATCH($X$8,手引き!$AL$1:$AS$1,0)+1))</f>
        <v>ア　乗車定員が７名以上のもの　大型車</v>
      </c>
      <c r="V113" s="150">
        <v>14</v>
      </c>
    </row>
    <row r="114" spans="4:26" ht="12.75" customHeight="1" x14ac:dyDescent="0.2">
      <c r="D114" s="150" t="str">
        <f>IF(HLOOKUP($X$8,名前2!C:J,27,0)=0,"",HLOOKUP($X$8,名前2!C:J,27,0))</f>
        <v/>
      </c>
      <c r="H114" s="150" t="str">
        <f>IF(INDEX(手引き!$AL:$AS,V126,MATCH($X$8,手引き!$AL$1:$AS$1,0)+1)=0,"",INDEX(手引き!$AL:$AS,V126,MATCH($X$8,手引き!$AL$1:$AS$1,0)+1))</f>
        <v>イ　乗車定員が６名以下のもの　普通車</v>
      </c>
      <c r="V114" s="150">
        <v>15</v>
      </c>
    </row>
    <row r="115" spans="4:26" ht="12.75" customHeight="1" x14ac:dyDescent="0.2">
      <c r="D115" s="150" t="str">
        <f>IF(HLOOKUP($X$8,名前2!C:J,28,0)=0,"",HLOOKUP($X$8,名前2!C:J,28,0))</f>
        <v/>
      </c>
      <c r="H115" s="150" t="str">
        <f>IF(INDEX(手引き!$AL:$AS,V127,MATCH($X$8,手引き!$AL$1:$AS$1,0)+1)=0,"",INDEX(手引き!$AL:$AS,V127,MATCH($X$8,手引き!$AL$1:$AS$1,0)+1))</f>
        <v>二　専ら旅客を寝台に乗せて運行することを目的とする</v>
      </c>
      <c r="V115" s="150">
        <v>16</v>
      </c>
    </row>
    <row r="116" spans="4:26" ht="12.75" customHeight="1" x14ac:dyDescent="0.2">
      <c r="D116" s="150" t="str">
        <f>IF(HLOOKUP($X$8,名前2!C:J,29,0)=0,"",HLOOKUP($X$8,名前2!C:J,29,0))</f>
        <v/>
      </c>
      <c r="H116" s="150" t="str">
        <f>IF(INDEX(手引き!$AL:$AS,V128,MATCH($X$8,手引き!$AL$1:$AS$1,0)+1)=0,"",INDEX(手引き!$AL:$AS,V128,MATCH($X$8,手引き!$AL$1:$AS$1,0)+1))</f>
        <v>自動車</v>
      </c>
      <c r="V116" s="150">
        <v>17</v>
      </c>
    </row>
    <row r="117" spans="4:26" ht="12.75" customHeight="1" x14ac:dyDescent="0.2">
      <c r="D117" s="150" t="str">
        <f>IF(HLOOKUP($X$8,名前2!C:J,30,0)=0,"",HLOOKUP($X$8,名前2!C:J,30,0))</f>
        <v/>
      </c>
      <c r="H117" s="150" t="str">
        <f>IF(INDEX(手引き!$AL:$AS,V129,MATCH($X$8,手引き!$AL$1:$AS$1,0)+1)=0,"",INDEX(手引き!$AL:$AS,V129,MATCH($X$8,手引き!$AL$1:$AS$1,0)+1))</f>
        <v>ア　普通自動車　普通自動車</v>
      </c>
      <c r="V117" s="150">
        <v>18</v>
      </c>
    </row>
    <row r="118" spans="4:26" ht="12.75" customHeight="1" x14ac:dyDescent="0.2">
      <c r="D118" s="150" t="str">
        <f>IF(HLOOKUP($X$8,名前2!C:J,31,0)=0,"",HLOOKUP($X$8,名前2!C:J,31,0))</f>
        <v/>
      </c>
      <c r="H118" s="150" t="str">
        <f>IF(INDEX(手引き!$AL:$AS,V130,MATCH($X$8,手引き!$AL$1:$AS$1,0)+1)=0,"",INDEX(手引き!$AL:$AS,V130,MATCH($X$8,手引き!$AL$1:$AS$1,0)+1))</f>
        <v>イ　小型自動車　小型自動車</v>
      </c>
      <c r="V118" s="150">
        <v>19</v>
      </c>
    </row>
    <row r="119" spans="4:26" ht="12.75" customHeight="1" x14ac:dyDescent="0.2">
      <c r="D119" s="150" t="str">
        <f>IF(HLOOKUP($X$8,名前2!C:J,32,0)=0,"",HLOOKUP($X$8,名前2!C:J,32,0))</f>
        <v/>
      </c>
      <c r="H119" s="150" t="str">
        <f>IF(INDEX(手引き!$AL:$AS,V131,MATCH($X$8,手引き!$AL$1:$AS$1,0)+1)=0,"",INDEX(手引き!$AL:$AS,V131,MATCH($X$8,手引き!$AL$1:$AS$1,0)+1))</f>
        <v>３　上記の車種区分において、ハイブリッド自動車とは、</v>
      </c>
      <c r="V119" s="150">
        <v>20</v>
      </c>
    </row>
    <row r="120" spans="4:26" ht="12.75" customHeight="1" x14ac:dyDescent="0.2">
      <c r="D120" s="150" t="str">
        <f>IF(HLOOKUP($X$8,名前2!C:J,33,0)=0,"",HLOOKUP($X$8,名前2!C:J,33,0))</f>
        <v/>
      </c>
      <c r="H120" s="150" t="str">
        <f>IF(INDEX(手引き!$AL:$AS,V132,MATCH($X$8,手引き!$AL$1:$AS$1,0)+1)=0,"",INDEX(手引き!$AL:$AS,V132,MATCH($X$8,手引き!$AL$1:$AS$1,0)+1))</f>
        <v>内燃機関を搭載し、併せて電気又は蓄圧器に蓄えられた</v>
      </c>
      <c r="V120" s="150">
        <v>21</v>
      </c>
      <c r="Z120" s="178"/>
    </row>
    <row r="121" spans="4:26" ht="12.75" customHeight="1" x14ac:dyDescent="0.2">
      <c r="D121" s="150" t="str">
        <f>IF(HLOOKUP($X$8,名前2!C:J,34,0)=0,"",HLOOKUP($X$8,名前2!C:J,3,0))</f>
        <v/>
      </c>
      <c r="H121" s="150" t="str">
        <f>IF(INDEX(手引き!$AL:$AS,V133,MATCH($X$8,手引き!$AL$1:$AS$1,0)+1)=0,"",INDEX(手引き!$AL:$AS,V133,MATCH($X$8,手引き!$AL$1:$AS$1,0)+1))</f>
        <v>圧力を動力源として用いる自動車をいう。</v>
      </c>
      <c r="V121" s="150">
        <v>22</v>
      </c>
    </row>
    <row r="122" spans="4:26" ht="12.75" customHeight="1" x14ac:dyDescent="0.2">
      <c r="D122" s="150" t="str">
        <f>IF(HLOOKUP($X$8,名前2!C:J,35,0)=0,"",HLOOKUP($X$8,名前2!C:J,35,0))</f>
        <v/>
      </c>
      <c r="H122" s="150" t="str">
        <f>IF(INDEX(手引き!$AL:$AS,V134,MATCH($X$8,手引き!$AL$1:$AS$1,0)+1)=0,"",INDEX(手引き!$AL:$AS,V134,MATCH($X$8,手引き!$AL$1:$AS$1,0)+1))</f>
        <v/>
      </c>
      <c r="V122" s="150">
        <v>23</v>
      </c>
    </row>
    <row r="123" spans="4:26" ht="12.75" customHeight="1" x14ac:dyDescent="0.2">
      <c r="D123" s="150" t="str">
        <f>IF(HLOOKUP($X$8,名前2!C:J,36,0)=0,"",HLOOKUP($X$8,名前2!C:J,36,0))</f>
        <v/>
      </c>
      <c r="H123" s="150" t="str">
        <f>IF(INDEX(手引き!$AL:$AS,V135,MATCH($X$8,手引き!$AL$1:$AS$1,0)+1)=0,"",INDEX(手引き!$AL:$AS,V135,MATCH($X$8,手引き!$AL$1:$AS$1,0)+1))</f>
        <v/>
      </c>
      <c r="V123" s="150">
        <v>24</v>
      </c>
    </row>
    <row r="124" spans="4:26" ht="12.75" customHeight="1" x14ac:dyDescent="0.2">
      <c r="D124" s="150" t="str">
        <f>IF(HLOOKUP($X$8,名前2!C:J,37,0)=0,"",HLOOKUP($X$8,名前2!C:J,37,0))</f>
        <v/>
      </c>
      <c r="H124" s="150" t="str">
        <f>IF(INDEX(手引き!$AL:$AS,V136,MATCH($X$8,手引き!$AL$1:$AS$1,0)+1)=0,"",INDEX(手引き!$AL:$AS,V136,MATCH($X$8,手引き!$AL$1:$AS$1,0)+1))</f>
        <v/>
      </c>
      <c r="V124" s="150">
        <v>25</v>
      </c>
    </row>
    <row r="125" spans="4:26" ht="12.75" customHeight="1" x14ac:dyDescent="0.2">
      <c r="D125" s="150" t="str">
        <f>IF(HLOOKUP($X$8,名前2!C:J,38,0)=0,"",HLOOKUP($X$8,名前2!C:J,38,0))</f>
        <v/>
      </c>
      <c r="H125" s="150" t="str">
        <f>IF(INDEX(手引き!$AL:$AS,V137,MATCH($X$8,手引き!$AL$1:$AS$1,0)+1)=0,"",INDEX(手引き!$AL:$AS,V137,MATCH($X$8,手引き!$AL$1:$AS$1,0)+1))</f>
        <v/>
      </c>
      <c r="V125" s="150">
        <v>26</v>
      </c>
    </row>
    <row r="126" spans="4:26" ht="12.75" customHeight="1" x14ac:dyDescent="0.2">
      <c r="D126" s="150" t="str">
        <f>IF(HLOOKUP($X$8,名前2!C:J,39,0)=0,"",HLOOKUP($X$8,名前2!C:J,39,0))</f>
        <v/>
      </c>
      <c r="H126" s="150" t="str">
        <f>IF(INDEX(手引き!$AL:$AS,V138,MATCH($X$8,手引き!$AL$1:$AS$1,0)+1)=0,"",INDEX(手引き!$AL:$AS,V138,MATCH($X$8,手引き!$AL$1:$AS$1,0)+1))</f>
        <v/>
      </c>
      <c r="V126" s="150">
        <v>27</v>
      </c>
    </row>
    <row r="127" spans="4:26" ht="12.75" customHeight="1" x14ac:dyDescent="0.2">
      <c r="D127" s="150" t="str">
        <f>IF(HLOOKUP($X$8,名前2!C:J,40,0)=0,"",HLOOKUP($X$8,名前2!C:J,40,0))</f>
        <v/>
      </c>
      <c r="H127" s="150" t="str">
        <f>IF(INDEX(手引き!$AL:$AS,V139,MATCH($X$8,手引き!$AL$1:$AS$1,0)+1)=0,"",INDEX(手引き!$AL:$AS,V139,MATCH($X$8,手引き!$AL$1:$AS$1,0)+1))</f>
        <v/>
      </c>
      <c r="V127" s="150">
        <v>28</v>
      </c>
    </row>
    <row r="128" spans="4:26" ht="12.75" customHeight="1" x14ac:dyDescent="0.2">
      <c r="V128" s="150">
        <v>29</v>
      </c>
      <c r="Z128" s="178"/>
    </row>
    <row r="129" spans="1:38" ht="12.75" customHeight="1" x14ac:dyDescent="0.2">
      <c r="B129" s="186" t="s">
        <v>403</v>
      </c>
      <c r="C129" s="173"/>
      <c r="D129" s="173"/>
      <c r="E129" s="173"/>
      <c r="F129" s="173"/>
      <c r="G129" s="173"/>
      <c r="H129" s="173"/>
      <c r="I129" s="173"/>
      <c r="J129" s="173"/>
      <c r="K129" s="173"/>
      <c r="L129" s="173"/>
      <c r="M129" s="173"/>
      <c r="N129" s="173"/>
      <c r="O129" s="173"/>
      <c r="P129" s="173"/>
      <c r="Q129" s="173" t="str">
        <f>IF(手引き!C24="○","設定しない","")</f>
        <v/>
      </c>
      <c r="R129" s="173"/>
      <c r="S129" s="173"/>
      <c r="T129" s="173"/>
      <c r="U129" s="188"/>
      <c r="V129" s="150">
        <v>30</v>
      </c>
    </row>
    <row r="130" spans="1:38" ht="12.75" customHeight="1" x14ac:dyDescent="0.2">
      <c r="B130" s="173" t="str">
        <f>IF(OR(U142=0,U142=""),"",VLOOKUP(COUNTIF($U$142:U142,"・"),名前2!$A$18:$B$44,2,0))</f>
        <v>イ</v>
      </c>
      <c r="C130" s="261" t="str">
        <f>IF($Q$129="設定しない","",IF(手引き!$C34="○","距離制運賃及び迎車回送料金は、メーター器の表示額による。","距離制運賃は、メーター器の表示額による。"))</f>
        <v>距離制運賃は、メーター器の表示額による。</v>
      </c>
      <c r="D130" s="261"/>
      <c r="E130" s="261"/>
      <c r="F130" s="261"/>
      <c r="G130" s="261"/>
      <c r="H130" s="261"/>
      <c r="I130" s="261"/>
      <c r="J130" s="261"/>
      <c r="K130" s="261"/>
      <c r="L130" s="261"/>
      <c r="M130" s="261"/>
      <c r="N130" s="261"/>
      <c r="O130" s="261"/>
      <c r="P130" s="261"/>
      <c r="Q130" s="261"/>
      <c r="R130" s="261"/>
      <c r="S130" s="261"/>
      <c r="T130" s="261"/>
      <c r="U130" s="188"/>
      <c r="V130" s="150">
        <v>31</v>
      </c>
    </row>
    <row r="131" spans="1:38" ht="12.75" customHeight="1" x14ac:dyDescent="0.2">
      <c r="B131" s="173" t="str">
        <f>IF(OR(U143=0,U143=""),"",VLOOKUP(COUNTIF($U$142:U143,"・"),名前2!$A$18:$B$44,2,0))</f>
        <v>ロ</v>
      </c>
      <c r="C131" s="261" t="str">
        <f>IF($Q$129="設定しない","","距離制運賃の算定は、旅客の乗車した地点から運送が終わった地点までの運送について行う。")</f>
        <v>距離制運賃の算定は、旅客の乗車した地点から運送が終わった地点までの運送について行う。</v>
      </c>
      <c r="D131" s="261"/>
      <c r="E131" s="261"/>
      <c r="F131" s="261"/>
      <c r="G131" s="261"/>
      <c r="H131" s="261"/>
      <c r="I131" s="261"/>
      <c r="J131" s="261"/>
      <c r="K131" s="261"/>
      <c r="L131" s="261"/>
      <c r="M131" s="261"/>
      <c r="N131" s="261"/>
      <c r="O131" s="261"/>
      <c r="P131" s="261"/>
      <c r="Q131" s="261"/>
      <c r="R131" s="261"/>
      <c r="S131" s="261"/>
      <c r="T131" s="261"/>
      <c r="U131" s="188"/>
      <c r="V131" s="150">
        <v>32</v>
      </c>
    </row>
    <row r="132" spans="1:38" ht="12.75" customHeight="1" x14ac:dyDescent="0.2">
      <c r="B132" s="173" t="str">
        <f>IF(OR(U144=0,U144=""),"",VLOOKUP(COUNTIF($U$142:U144,"・"),名前2!$A$18:$B$44,2,0))</f>
        <v/>
      </c>
      <c r="C132" s="261"/>
      <c r="D132" s="261"/>
      <c r="E132" s="261"/>
      <c r="F132" s="261"/>
      <c r="G132" s="261"/>
      <c r="H132" s="261"/>
      <c r="I132" s="261"/>
      <c r="J132" s="261"/>
      <c r="K132" s="261"/>
      <c r="L132" s="261"/>
      <c r="M132" s="261"/>
      <c r="N132" s="261"/>
      <c r="O132" s="261"/>
      <c r="P132" s="261"/>
      <c r="Q132" s="261"/>
      <c r="R132" s="261"/>
      <c r="S132" s="261"/>
      <c r="T132" s="261"/>
      <c r="U132" s="188"/>
      <c r="V132" s="150">
        <v>33</v>
      </c>
    </row>
    <row r="133" spans="1:38" ht="12.75" customHeight="1" x14ac:dyDescent="0.2">
      <c r="B133" s="173" t="str">
        <f>IF(OR(U145=0,U145=""),"",VLOOKUP(COUNTIF($U$142:U145,"・"),名前2!$A$18:$B$44,2,0))</f>
        <v>ハ</v>
      </c>
      <c r="C133" s="261" t="str">
        <f>IF($Q$129="","時間距離併用運賃は、走行が時速10キロメートル以下になった場合及び旅客の都合により車両を待機させる場合に適用する。","")</f>
        <v>時間距離併用運賃は、走行が時速10キロメートル以下になった場合及び旅客の都合により車両を待機させる場合に適用する。</v>
      </c>
      <c r="D133" s="261"/>
      <c r="E133" s="261"/>
      <c r="F133" s="261"/>
      <c r="G133" s="261"/>
      <c r="H133" s="261"/>
      <c r="I133" s="261"/>
      <c r="J133" s="261"/>
      <c r="K133" s="261"/>
      <c r="L133" s="261"/>
      <c r="M133" s="261"/>
      <c r="N133" s="261"/>
      <c r="O133" s="261"/>
      <c r="P133" s="261"/>
      <c r="Q133" s="261"/>
      <c r="R133" s="261"/>
      <c r="S133" s="261"/>
      <c r="T133" s="261"/>
      <c r="U133" s="188"/>
      <c r="V133" s="150">
        <v>34</v>
      </c>
    </row>
    <row r="134" spans="1:38" ht="12.75" customHeight="1" x14ac:dyDescent="0.2">
      <c r="B134" s="173" t="str">
        <f>IF(OR(U146=0,U146=""),"",VLOOKUP(COUNTIF($U$142:U146,"・"),名前2!$A$18:$B$44,2,0))</f>
        <v/>
      </c>
      <c r="C134" s="261" t="str">
        <f>IF($Q$129="",IF(手引き!$C34="○","ただし、迎車のための回送区間、高速自動車国道及び道路法第48条の２第１項により指定された自動車専用道路","ただし、高速自動車国道及び道路法第48条の２第１項により指定された自動車専用道路"),"")</f>
        <v>ただし、高速自動車国道及び道路法第48条の２第１項により指定された自動車専用道路</v>
      </c>
      <c r="D134" s="261"/>
      <c r="E134" s="261"/>
      <c r="F134" s="261"/>
      <c r="G134" s="261"/>
      <c r="H134" s="261"/>
      <c r="I134" s="261"/>
      <c r="J134" s="261"/>
      <c r="K134" s="261"/>
      <c r="L134" s="261"/>
      <c r="M134" s="261"/>
      <c r="N134" s="261"/>
      <c r="O134" s="261"/>
      <c r="P134" s="261"/>
      <c r="Q134" s="261"/>
      <c r="R134" s="261"/>
      <c r="S134" s="261"/>
      <c r="T134" s="261"/>
      <c r="U134" s="188"/>
      <c r="V134" s="150">
        <v>35</v>
      </c>
    </row>
    <row r="135" spans="1:38" ht="12.75" customHeight="1" x14ac:dyDescent="0.2">
      <c r="B135" s="173" t="str">
        <f>IF(OR(U147=0,U147=""),"",VLOOKUP(COUNTIF($U$142:U147,"・"),名前2!$A$18:$B$44,2,0))</f>
        <v/>
      </c>
      <c r="C135" s="261" t="str">
        <f>IF($Q$129="","（取付道路進入地点から退出地点までの区間に限る。）を走行する場合は適用しない。","")</f>
        <v>（取付道路進入地点から退出地点までの区間に限る。）を走行する場合は適用しない。</v>
      </c>
      <c r="D135" s="261"/>
      <c r="E135" s="261"/>
      <c r="F135" s="261"/>
      <c r="G135" s="261"/>
      <c r="H135" s="261"/>
      <c r="I135" s="261"/>
      <c r="J135" s="261"/>
      <c r="K135" s="261"/>
      <c r="L135" s="261"/>
      <c r="M135" s="261"/>
      <c r="N135" s="261"/>
      <c r="O135" s="261"/>
      <c r="P135" s="261"/>
      <c r="Q135" s="261"/>
      <c r="R135" s="261"/>
      <c r="S135" s="261"/>
      <c r="T135" s="261"/>
      <c r="U135" s="188"/>
      <c r="V135" s="150">
        <v>36</v>
      </c>
    </row>
    <row r="136" spans="1:38" ht="12.75" customHeight="1" x14ac:dyDescent="0.2">
      <c r="B136" s="173" t="str">
        <f>IF(OR(U148=0,U148=""),"",VLOOKUP(COUNTIF($U$142:U148,"・"),名前2!$A$18:$B$44,2,0))</f>
        <v>ニ</v>
      </c>
      <c r="C136" s="261" t="str">
        <f>IF($Q$129="設定しない","",IF(手引き!$C34="○","距離制運賃及び迎車回送料金の収受にあたっては、運送が終わった地点で停車後直ちにメーター器を「支払」の位置に操作すること。","距離制運賃の収受にあたっては、運送が終わった地点で停車後直ちにメーター器を「支払」の位置に操作すること。"))</f>
        <v>距離制運賃の収受にあたっては、運送が終わった地点で停車後直ちにメーター器を「支払」の位置に操作すること。</v>
      </c>
      <c r="D136" s="261"/>
      <c r="E136" s="261"/>
      <c r="F136" s="261"/>
      <c r="G136" s="261"/>
      <c r="H136" s="261"/>
      <c r="I136" s="261"/>
      <c r="J136" s="261"/>
      <c r="K136" s="261"/>
      <c r="L136" s="261"/>
      <c r="M136" s="261"/>
      <c r="N136" s="261"/>
      <c r="O136" s="261"/>
      <c r="P136" s="261"/>
      <c r="Q136" s="261"/>
      <c r="R136" s="261"/>
      <c r="S136" s="261"/>
      <c r="T136" s="261"/>
      <c r="U136" s="188"/>
      <c r="V136" s="150">
        <v>37</v>
      </c>
    </row>
    <row r="137" spans="1:38" ht="12.75" customHeight="1" x14ac:dyDescent="0.2">
      <c r="B137" s="173" t="str">
        <f>IF(OR(U149=0,U149=""),"",VLOOKUP(COUNTIF($U$142:U149,"・"),名前2!$A$18:$B$44,2,0))</f>
        <v>ホ</v>
      </c>
      <c r="C137" s="261" t="str">
        <f>IF($Q$129="","深夜及び早朝割増を適用する時間は、午後10時から翌朝午前５時までとする。","")</f>
        <v>深夜及び早朝割増を適用する時間は、午後10時から翌朝午前５時までとする。</v>
      </c>
      <c r="D137" s="261"/>
      <c r="E137" s="261"/>
      <c r="F137" s="261"/>
      <c r="G137" s="261"/>
      <c r="H137" s="261"/>
      <c r="I137" s="261"/>
      <c r="J137" s="261"/>
      <c r="K137" s="261"/>
      <c r="L137" s="261"/>
      <c r="M137" s="261"/>
      <c r="N137" s="261"/>
      <c r="O137" s="261"/>
      <c r="P137" s="261"/>
      <c r="Q137" s="261"/>
      <c r="R137" s="261"/>
      <c r="S137" s="261"/>
      <c r="T137" s="261"/>
      <c r="U137" s="188"/>
      <c r="V137" s="150">
        <v>38</v>
      </c>
    </row>
    <row r="138" spans="1:38" ht="13.5" customHeight="1" x14ac:dyDescent="0.2">
      <c r="B138" s="173" t="str">
        <f>IF(OR(U150=0,U150=""),"",VLOOKUP(COUNTIF($U$142:U150,"・"),名前2!$A$18:$B$44,2,0))</f>
        <v>ヘ</v>
      </c>
      <c r="C138" s="261" t="str">
        <f>IF($Q$129="","身体障害者割引は、身体障害者福祉法の規定により身体障害者手帳の交付を受けている者について適用する。","")</f>
        <v>身体障害者割引は、身体障害者福祉法の規定により身体障害者手帳の交付を受けている者について適用する。</v>
      </c>
      <c r="D138" s="261"/>
      <c r="E138" s="261"/>
      <c r="F138" s="261"/>
      <c r="G138" s="261"/>
      <c r="H138" s="261"/>
      <c r="I138" s="261"/>
      <c r="J138" s="261"/>
      <c r="K138" s="261"/>
      <c r="L138" s="261"/>
      <c r="M138" s="261"/>
      <c r="N138" s="261"/>
      <c r="O138" s="261"/>
      <c r="P138" s="261"/>
      <c r="Q138" s="261"/>
      <c r="R138" s="261"/>
      <c r="S138" s="261"/>
      <c r="T138" s="261"/>
      <c r="U138" s="188"/>
      <c r="V138" s="150">
        <v>39</v>
      </c>
    </row>
    <row r="139" spans="1:38" ht="12" customHeight="1" x14ac:dyDescent="0.2">
      <c r="A139" s="189">
        <v>1</v>
      </c>
      <c r="B139" s="173" t="str">
        <f>IF(OR(U151=0,U151=""),"",VLOOKUP(COUNTIF($U$142:U151,"・"),名前2!$A$18:$B$44,2,0))</f>
        <v>ト</v>
      </c>
      <c r="C139" s="261" t="str">
        <f t="shared" ref="C139:C158" si="0">IF(ISERROR(VLOOKUP(A139,$V$140:$AL$160,3,0)),"",VLOOKUP(A139,$V$140:$AL$160,3,0))</f>
        <v>知的障害者割引は、療育手帳制度要綱（昭和48年９月27日、厚生事務次官通知）に規定する知的障害者の療育手帳の交付を受けている者について適用する。</v>
      </c>
      <c r="D139" s="261"/>
      <c r="E139" s="261"/>
      <c r="F139" s="261"/>
      <c r="G139" s="261"/>
      <c r="H139" s="261"/>
      <c r="I139" s="261"/>
      <c r="J139" s="261"/>
      <c r="K139" s="261"/>
      <c r="L139" s="261"/>
      <c r="M139" s="261"/>
      <c r="N139" s="261"/>
      <c r="O139" s="261"/>
      <c r="P139" s="261"/>
      <c r="Q139" s="261"/>
      <c r="R139" s="261"/>
      <c r="S139" s="261"/>
      <c r="T139" s="261"/>
      <c r="U139" s="188"/>
      <c r="V139" s="150">
        <v>40</v>
      </c>
    </row>
    <row r="140" spans="1:38" ht="12" customHeight="1" x14ac:dyDescent="0.2">
      <c r="A140" s="189">
        <v>2</v>
      </c>
      <c r="B140" s="173" t="str">
        <f>IF(OR(U152=0,U152=""),"",VLOOKUP(COUNTIF($U$142:U152,"・"),名前2!$A$18:$B$44,2,0))</f>
        <v>チ</v>
      </c>
      <c r="C140" s="261" t="str">
        <f t="shared" si="0"/>
        <v>身体障害者割引、知的障害者割引の算定は、</v>
      </c>
      <c r="D140" s="261"/>
      <c r="E140" s="261"/>
      <c r="F140" s="261"/>
      <c r="G140" s="261"/>
      <c r="H140" s="261"/>
      <c r="I140" s="261"/>
      <c r="J140" s="261"/>
      <c r="K140" s="261"/>
      <c r="L140" s="261"/>
      <c r="M140" s="261"/>
      <c r="N140" s="261"/>
      <c r="O140" s="261"/>
      <c r="P140" s="261"/>
      <c r="Q140" s="261"/>
      <c r="R140" s="261"/>
      <c r="S140" s="261"/>
      <c r="T140" s="261"/>
      <c r="U140" s="188"/>
      <c r="V140" s="150">
        <v>1</v>
      </c>
      <c r="W140" s="173" t="str">
        <f t="shared" ref="W140:W141" si="1">IF(X140="","","・")</f>
        <v>・</v>
      </c>
      <c r="X140" s="261" t="str">
        <f>IF($Q$129="","知的障害者割引は、療育手帳制度要綱（昭和48年９月27日、厚生事務次官通知）に規定する知的障害者の療育手帳の交付を受けている者について適用する。","")</f>
        <v>知的障害者割引は、療育手帳制度要綱（昭和48年９月27日、厚生事務次官通知）に規定する知的障害者の療育手帳の交付を受けている者について適用する。</v>
      </c>
      <c r="Y140" s="261"/>
      <c r="Z140" s="261"/>
      <c r="AA140" s="261"/>
      <c r="AB140" s="261"/>
      <c r="AC140" s="261"/>
      <c r="AD140" s="261"/>
      <c r="AE140" s="261"/>
      <c r="AF140" s="261"/>
      <c r="AG140" s="261"/>
      <c r="AH140" s="261"/>
      <c r="AI140" s="261"/>
      <c r="AJ140" s="261"/>
      <c r="AK140" s="261"/>
      <c r="AL140" s="261"/>
    </row>
    <row r="141" spans="1:38" ht="12" customHeight="1" x14ac:dyDescent="0.2">
      <c r="A141" s="189">
        <v>3</v>
      </c>
      <c r="B141" s="173" t="str">
        <f>IF(OR(U153=0,U153=""),"",VLOOKUP(COUNTIF($U$142:U153,"・"),名前2!$A$18:$B$44,2,0))</f>
        <v/>
      </c>
      <c r="C141" s="261" t="str">
        <f t="shared" si="0"/>
        <v>メーター器の表示額に 0.9を乗じ、10円未満の端数を切り捨てた額とする。</v>
      </c>
      <c r="D141" s="261"/>
      <c r="E141" s="261"/>
      <c r="F141" s="261"/>
      <c r="G141" s="261"/>
      <c r="H141" s="261"/>
      <c r="I141" s="261"/>
      <c r="J141" s="261"/>
      <c r="K141" s="261"/>
      <c r="L141" s="261"/>
      <c r="M141" s="261"/>
      <c r="N141" s="261"/>
      <c r="O141" s="261"/>
      <c r="P141" s="261"/>
      <c r="Q141" s="261"/>
      <c r="R141" s="261"/>
      <c r="S141" s="261"/>
      <c r="T141" s="261"/>
      <c r="U141" s="188"/>
      <c r="V141" s="173" t="str">
        <f>IF($X141&lt;&gt;"",MAX(V$140:V140)+1,"")</f>
        <v/>
      </c>
      <c r="W141" s="173" t="str">
        <f t="shared" si="1"/>
        <v/>
      </c>
      <c r="X141" s="261" t="str">
        <f>IF($Q$129="設定しない","",IF(手引き!$B$43="設定する","精神障害者割引は、精神保健及び精神障害者福祉に関する法律に規定する精神障害者保健福祉手帳の交付を受けている者について適用する。",""))</f>
        <v/>
      </c>
      <c r="Y141" s="261"/>
      <c r="Z141" s="261"/>
      <c r="AA141" s="261"/>
      <c r="AB141" s="261"/>
      <c r="AC141" s="261"/>
      <c r="AD141" s="261"/>
      <c r="AE141" s="261"/>
      <c r="AF141" s="261"/>
      <c r="AG141" s="261"/>
      <c r="AH141" s="261"/>
      <c r="AI141" s="261"/>
      <c r="AJ141" s="261"/>
      <c r="AK141" s="261"/>
      <c r="AL141" s="261"/>
    </row>
    <row r="142" spans="1:38" ht="12" customHeight="1" x14ac:dyDescent="0.2">
      <c r="A142" s="189">
        <v>4</v>
      </c>
      <c r="B142" s="173" t="str">
        <f>IF(OR(U154=0,U154=""),"",VLOOKUP(COUNTIF($U$142:U154,"・"),名前2!$A$18:$B$44,2,0))</f>
        <v>リ</v>
      </c>
      <c r="C142" s="261" t="str">
        <f t="shared" si="0"/>
        <v>身体障害者割引、知的障害者割引は重複して適用しないものとする。</v>
      </c>
      <c r="D142" s="261"/>
      <c r="E142" s="261"/>
      <c r="F142" s="261"/>
      <c r="G142" s="261"/>
      <c r="H142" s="261"/>
      <c r="I142" s="261"/>
      <c r="J142" s="261"/>
      <c r="K142" s="261"/>
      <c r="L142" s="261"/>
      <c r="M142" s="261"/>
      <c r="N142" s="261"/>
      <c r="O142" s="261"/>
      <c r="P142" s="261"/>
      <c r="Q142" s="261"/>
      <c r="R142" s="261"/>
      <c r="S142" s="261"/>
      <c r="T142" s="261"/>
      <c r="U142" s="173" t="str">
        <f>IF(C130="","","・")</f>
        <v>・</v>
      </c>
      <c r="V142" s="173" t="str">
        <f>IF($X142&lt;&gt;"",MAX(V$140:V141)+1,"")</f>
        <v/>
      </c>
      <c r="W142" s="173" t="s">
        <v>97</v>
      </c>
      <c r="X142" s="261" t="str">
        <f>IF($Q$129="設定しない","",IF(手引き!$B$44="設定する","高齢者割引は、公的機関が発行した年齢を確認できる書面等の提示をした65歳以上の者について適用する。",""))</f>
        <v/>
      </c>
      <c r="Y142" s="261"/>
      <c r="Z142" s="261"/>
      <c r="AA142" s="261"/>
      <c r="AB142" s="261"/>
      <c r="AC142" s="261"/>
      <c r="AD142" s="261"/>
      <c r="AE142" s="261"/>
      <c r="AF142" s="261"/>
      <c r="AG142" s="261"/>
      <c r="AH142" s="261"/>
      <c r="AI142" s="261"/>
      <c r="AJ142" s="261"/>
      <c r="AK142" s="261"/>
      <c r="AL142" s="261"/>
    </row>
    <row r="143" spans="1:38" ht="12" customHeight="1" x14ac:dyDescent="0.2">
      <c r="A143" s="189">
        <v>5</v>
      </c>
      <c r="B143" s="173" t="str">
        <f>IF(OR(U155=0,U155=""),"",VLOOKUP(COUNTIF($U$142:U155,"・"),名前2!$A$18:$B$44,2,0))</f>
        <v>ヌ</v>
      </c>
      <c r="C143" s="261" t="str">
        <f t="shared" si="0"/>
        <v>メーター器は、高速自動車国道及び道路法第48条の２第１項により指定された自動車専用道路</v>
      </c>
      <c r="D143" s="261"/>
      <c r="E143" s="261"/>
      <c r="F143" s="261"/>
      <c r="G143" s="261"/>
      <c r="H143" s="261"/>
      <c r="I143" s="261"/>
      <c r="J143" s="261"/>
      <c r="K143" s="261"/>
      <c r="L143" s="261"/>
      <c r="M143" s="261"/>
      <c r="N143" s="261"/>
      <c r="O143" s="261"/>
      <c r="P143" s="261"/>
      <c r="Q143" s="261"/>
      <c r="R143" s="261"/>
      <c r="S143" s="261"/>
      <c r="T143" s="261"/>
      <c r="U143" s="173" t="str">
        <f>IF(C131="","","・")</f>
        <v>・</v>
      </c>
      <c r="V143" s="173" t="str">
        <f>IF($X143&lt;&gt;"",MAX(V$140:V142)+1,"")</f>
        <v/>
      </c>
      <c r="W143" s="173" t="s">
        <v>97</v>
      </c>
      <c r="X143" s="261" t="str">
        <f>IF($Q$129="設定しない","",IF(手引き!$B$45="設定する","運転免許証返納者割引は、自動車運転免許の全部を自ら返納することにより、公安委員会で発行される運転経歴証明書の交付を受けている者について適用する。",""))</f>
        <v/>
      </c>
      <c r="Y143" s="261"/>
      <c r="Z143" s="261"/>
      <c r="AA143" s="261"/>
      <c r="AB143" s="261"/>
      <c r="AC143" s="261"/>
      <c r="AD143" s="261"/>
      <c r="AE143" s="261"/>
      <c r="AF143" s="261"/>
      <c r="AG143" s="261"/>
      <c r="AH143" s="261"/>
      <c r="AI143" s="261"/>
      <c r="AJ143" s="261"/>
      <c r="AK143" s="261"/>
      <c r="AL143" s="261"/>
    </row>
    <row r="144" spans="1:38" ht="12" customHeight="1" x14ac:dyDescent="0.2">
      <c r="A144" s="189">
        <v>6</v>
      </c>
      <c r="B144" s="173" t="str">
        <f>IF(OR(U156=0,U156=""),"",VLOOKUP(COUNTIF($U$142:U156,"・"),名前2!$A$18:$B$44,2,0))</f>
        <v/>
      </c>
      <c r="C144" s="261" t="str">
        <f t="shared" si="0"/>
        <v xml:space="preserve">（取付道路進入地点から退出地点までの区間に限る。）を走行する場合は、 </v>
      </c>
      <c r="D144" s="261"/>
      <c r="E144" s="261"/>
      <c r="F144" s="261"/>
      <c r="G144" s="261"/>
      <c r="H144" s="261"/>
      <c r="I144" s="261"/>
      <c r="J144" s="261"/>
      <c r="K144" s="261"/>
      <c r="L144" s="261"/>
      <c r="M144" s="261"/>
      <c r="N144" s="261"/>
      <c r="O144" s="261"/>
      <c r="P144" s="261"/>
      <c r="Q144" s="261"/>
      <c r="R144" s="261"/>
      <c r="S144" s="261"/>
      <c r="T144" s="261"/>
      <c r="U144" s="173" t="str">
        <f>IF(C132="","","・")</f>
        <v/>
      </c>
      <c r="V144" s="173">
        <f>IF($X144&lt;&gt;"",MAX(V$140:V143)+1,"")</f>
        <v>2</v>
      </c>
      <c r="W144" s="173" t="s">
        <v>97</v>
      </c>
      <c r="X144" s="261" t="str">
        <f>IF($Q$129="設定しない","","身体障害者割引、知的障害者割引"&amp;IF(手引き!$B$43="設定する","、精神障害者割引","")&amp;IF(手引き!$B$44="設定する","、高齢者割引","")&amp;IF(手引き!$B$45="設定する","、運転免許証返納者割引","")&amp;"の算定は、")</f>
        <v>身体障害者割引、知的障害者割引の算定は、</v>
      </c>
      <c r="Y144" s="261"/>
      <c r="Z144" s="261"/>
      <c r="AA144" s="261"/>
      <c r="AB144" s="261"/>
      <c r="AC144" s="261"/>
      <c r="AD144" s="261"/>
      <c r="AE144" s="261"/>
      <c r="AF144" s="261"/>
      <c r="AG144" s="261"/>
      <c r="AH144" s="261"/>
      <c r="AI144" s="261"/>
      <c r="AJ144" s="261"/>
      <c r="AK144" s="261"/>
      <c r="AL144" s="261"/>
    </row>
    <row r="145" spans="1:38" ht="12" customHeight="1" x14ac:dyDescent="0.2">
      <c r="A145" s="189">
        <v>7</v>
      </c>
      <c r="B145" s="173" t="str">
        <f>IF(OR(U157=0,U157=""),"",VLOOKUP(COUNTIF($U$142:U157,"・"),名前2!$A$18:$B$44,2,0))</f>
        <v/>
      </c>
      <c r="C145" s="261" t="str">
        <f t="shared" si="0"/>
        <v>時間距離併用運賃の積算が停止する機能を有するものであること。</v>
      </c>
      <c r="D145" s="261"/>
      <c r="E145" s="261"/>
      <c r="F145" s="261"/>
      <c r="G145" s="261"/>
      <c r="H145" s="261"/>
      <c r="I145" s="261"/>
      <c r="J145" s="261"/>
      <c r="K145" s="261"/>
      <c r="L145" s="261"/>
      <c r="M145" s="261"/>
      <c r="N145" s="261"/>
      <c r="O145" s="261"/>
      <c r="P145" s="261"/>
      <c r="Q145" s="261"/>
      <c r="R145" s="261"/>
      <c r="S145" s="261"/>
      <c r="T145" s="261"/>
      <c r="U145" s="173" t="str">
        <f>IF(C133="","","・")</f>
        <v>・</v>
      </c>
      <c r="V145" s="173">
        <f>IF($X145&lt;&gt;"",MAX(V$140:V144)+1,"")</f>
        <v>3</v>
      </c>
      <c r="X145" s="261" t="str">
        <f>IF($Q$129="設定しない","","メーター器の表示額に 0.9を乗じ、10円未満の端数を切り捨てた額とする。")</f>
        <v>メーター器の表示額に 0.9を乗じ、10円未満の端数を切り捨てた額とする。</v>
      </c>
      <c r="Y145" s="261"/>
      <c r="Z145" s="261"/>
      <c r="AA145" s="261"/>
      <c r="AB145" s="261"/>
      <c r="AC145" s="261"/>
      <c r="AD145" s="261"/>
      <c r="AE145" s="261"/>
      <c r="AF145" s="261"/>
      <c r="AG145" s="261"/>
      <c r="AH145" s="261"/>
      <c r="AI145" s="261"/>
      <c r="AJ145" s="261"/>
      <c r="AK145" s="261"/>
      <c r="AL145" s="261"/>
    </row>
    <row r="146" spans="1:38" ht="12" customHeight="1" x14ac:dyDescent="0.2">
      <c r="A146" s="189">
        <v>8</v>
      </c>
      <c r="B146" s="173" t="str">
        <f>IF(OR(U158=0,U158=""),"",VLOOKUP(COUNTIF($U$142:U158,"・"),名前2!$A$18:$B$44,2,0))</f>
        <v/>
      </c>
      <c r="C146" s="261" t="str">
        <f t="shared" si="0"/>
        <v/>
      </c>
      <c r="D146" s="261"/>
      <c r="E146" s="261"/>
      <c r="F146" s="261"/>
      <c r="G146" s="261"/>
      <c r="H146" s="261"/>
      <c r="I146" s="261"/>
      <c r="J146" s="261"/>
      <c r="K146" s="261"/>
      <c r="L146" s="261"/>
      <c r="M146" s="261"/>
      <c r="N146" s="261"/>
      <c r="O146" s="261"/>
      <c r="P146" s="261"/>
      <c r="Q146" s="261"/>
      <c r="R146" s="261"/>
      <c r="S146" s="261"/>
      <c r="T146" s="261"/>
      <c r="U146" s="188"/>
      <c r="V146" s="173" t="str">
        <f>IF($X146&lt;&gt;"",MAX(V$140:V145)+1,"")</f>
        <v/>
      </c>
      <c r="W146" s="173" t="s">
        <v>97</v>
      </c>
      <c r="X146" s="261"/>
      <c r="Y146" s="261"/>
      <c r="Z146" s="261"/>
      <c r="AA146" s="261"/>
      <c r="AB146" s="261"/>
      <c r="AC146" s="261"/>
      <c r="AD146" s="261"/>
      <c r="AE146" s="261"/>
      <c r="AF146" s="261"/>
      <c r="AG146" s="261"/>
      <c r="AH146" s="261"/>
      <c r="AI146" s="261"/>
      <c r="AJ146" s="261"/>
      <c r="AK146" s="261"/>
      <c r="AL146" s="261"/>
    </row>
    <row r="147" spans="1:38" ht="12" customHeight="1" x14ac:dyDescent="0.2">
      <c r="A147" s="189">
        <v>9</v>
      </c>
      <c r="B147" s="173" t="str">
        <f>IF(OR(U159=0,U159=""),"",VLOOKUP(COUNTIF($U$142:U159,"・"),名前2!$A$18:$B$44,2,0))</f>
        <v/>
      </c>
      <c r="C147" s="261" t="str">
        <f t="shared" si="0"/>
        <v/>
      </c>
      <c r="D147" s="261"/>
      <c r="E147" s="261"/>
      <c r="F147" s="261"/>
      <c r="G147" s="261"/>
      <c r="H147" s="261"/>
      <c r="I147" s="261"/>
      <c r="J147" s="261"/>
      <c r="K147" s="261"/>
      <c r="L147" s="261"/>
      <c r="M147" s="261"/>
      <c r="N147" s="261"/>
      <c r="O147" s="261"/>
      <c r="P147" s="261"/>
      <c r="Q147" s="261"/>
      <c r="R147" s="261"/>
      <c r="S147" s="261"/>
      <c r="T147" s="261"/>
      <c r="U147" s="188"/>
      <c r="V147" s="173" t="str">
        <f>IF($X147&lt;&gt;"",MAX(V$140:V146)+1,"")</f>
        <v/>
      </c>
      <c r="W147" s="173"/>
      <c r="X147" s="261"/>
      <c r="Y147" s="261"/>
      <c r="Z147" s="261"/>
      <c r="AA147" s="261"/>
      <c r="AB147" s="261"/>
      <c r="AC147" s="261"/>
      <c r="AD147" s="261"/>
      <c r="AE147" s="261"/>
      <c r="AF147" s="261"/>
      <c r="AG147" s="261"/>
      <c r="AH147" s="261"/>
      <c r="AI147" s="261"/>
      <c r="AJ147" s="261"/>
      <c r="AK147" s="261"/>
      <c r="AL147" s="261"/>
    </row>
    <row r="148" spans="1:38" ht="12" customHeight="1" x14ac:dyDescent="0.2">
      <c r="A148" s="189">
        <v>10</v>
      </c>
      <c r="B148" s="173" t="str">
        <f>IF(OR(U160=0,U160=""),"",VLOOKUP(COUNTIF($U$142:U160,"・"),名前2!$A$18:$B$44,2,0))</f>
        <v/>
      </c>
      <c r="C148" s="261" t="str">
        <f t="shared" si="0"/>
        <v/>
      </c>
      <c r="D148" s="261"/>
      <c r="E148" s="261"/>
      <c r="F148" s="261"/>
      <c r="G148" s="261"/>
      <c r="H148" s="261"/>
      <c r="I148" s="261"/>
      <c r="J148" s="261"/>
      <c r="K148" s="261"/>
      <c r="L148" s="261"/>
      <c r="M148" s="261"/>
      <c r="N148" s="261"/>
      <c r="O148" s="261"/>
      <c r="P148" s="261"/>
      <c r="Q148" s="261"/>
      <c r="R148" s="261"/>
      <c r="S148" s="261"/>
      <c r="T148" s="261"/>
      <c r="U148" s="173" t="str">
        <f>IF(C136="","","・")</f>
        <v>・</v>
      </c>
      <c r="V148" s="173" t="str">
        <f>IF($X148&lt;&gt;"",MAX(V$140:V147)+1,"")</f>
        <v/>
      </c>
      <c r="W148" s="173" t="s">
        <v>97</v>
      </c>
      <c r="X148" s="261"/>
      <c r="Y148" s="261"/>
      <c r="Z148" s="261"/>
      <c r="AA148" s="261"/>
      <c r="AB148" s="261"/>
      <c r="AC148" s="261"/>
      <c r="AD148" s="261"/>
      <c r="AE148" s="261"/>
      <c r="AF148" s="261"/>
      <c r="AG148" s="261"/>
      <c r="AH148" s="261"/>
      <c r="AI148" s="261"/>
      <c r="AJ148" s="261"/>
      <c r="AK148" s="261"/>
      <c r="AL148" s="261"/>
    </row>
    <row r="149" spans="1:38" ht="12" customHeight="1" x14ac:dyDescent="0.2">
      <c r="A149" s="189">
        <v>11</v>
      </c>
      <c r="B149" s="173" t="str">
        <f>IF(OR(U161=0,U161=""),"",VLOOKUP(COUNTIF($U$142:U161,"・"),名前2!$A$18:$B$44,2,0))</f>
        <v/>
      </c>
      <c r="C149" s="261" t="str">
        <f t="shared" si="0"/>
        <v/>
      </c>
      <c r="D149" s="261"/>
      <c r="E149" s="261"/>
      <c r="F149" s="261"/>
      <c r="G149" s="261"/>
      <c r="H149" s="261"/>
      <c r="I149" s="261"/>
      <c r="J149" s="261"/>
      <c r="K149" s="261"/>
      <c r="L149" s="261"/>
      <c r="M149" s="261"/>
      <c r="N149" s="261"/>
      <c r="O149" s="261"/>
      <c r="P149" s="261"/>
      <c r="Q149" s="261"/>
      <c r="R149" s="261"/>
      <c r="S149" s="261"/>
      <c r="T149" s="261"/>
      <c r="U149" s="173" t="str">
        <f t="shared" ref="U149" si="2">IF(C137="","","・")</f>
        <v>・</v>
      </c>
      <c r="V149" s="173" t="str">
        <f>IF($X149&lt;&gt;"",MAX(V$140:V148)+1,"")</f>
        <v/>
      </c>
      <c r="W149" s="173"/>
      <c r="X149" s="261"/>
      <c r="Y149" s="261"/>
      <c r="Z149" s="261"/>
      <c r="AA149" s="261"/>
      <c r="AB149" s="261"/>
      <c r="AC149" s="261"/>
      <c r="AD149" s="261"/>
      <c r="AE149" s="261"/>
      <c r="AF149" s="261"/>
      <c r="AG149" s="261"/>
      <c r="AH149" s="261"/>
      <c r="AI149" s="261"/>
      <c r="AJ149" s="261"/>
      <c r="AK149" s="261"/>
      <c r="AL149" s="261"/>
    </row>
    <row r="150" spans="1:38" ht="12" customHeight="1" x14ac:dyDescent="0.2">
      <c r="A150" s="189">
        <v>12</v>
      </c>
      <c r="B150" s="173" t="str">
        <f>IF(OR(U162=0,U162=""),"",VLOOKUP(COUNTIF($U$142:U162,"・"),名前2!$A$18:$B$44,2,0))</f>
        <v/>
      </c>
      <c r="C150" s="261" t="str">
        <f t="shared" si="0"/>
        <v/>
      </c>
      <c r="D150" s="261"/>
      <c r="E150" s="261"/>
      <c r="F150" s="261"/>
      <c r="G150" s="261"/>
      <c r="H150" s="261"/>
      <c r="I150" s="261"/>
      <c r="J150" s="261"/>
      <c r="K150" s="261"/>
      <c r="L150" s="261"/>
      <c r="M150" s="261"/>
      <c r="N150" s="261"/>
      <c r="O150" s="261"/>
      <c r="P150" s="261"/>
      <c r="Q150" s="261"/>
      <c r="R150" s="261"/>
      <c r="S150" s="261"/>
      <c r="T150" s="261"/>
      <c r="U150" s="173" t="str">
        <f>IF(C138="","","・")</f>
        <v>・</v>
      </c>
      <c r="V150" s="173">
        <f>IF($X150&lt;&gt;"",MAX(V$140:V149)+1,"")</f>
        <v>4</v>
      </c>
      <c r="W150" s="173" t="s">
        <v>209</v>
      </c>
      <c r="X150" s="261" t="str">
        <f>IF($Q$129="設定しない","","身体障害者割引、知的障害者割引"&amp;IF(手引き!$B$43="設定する","、精神障害者割引","")&amp;IF(手引き!$B$44="設定する","、高齢者割引","")&amp;IF(手引き!$B$45="設定する","、運転免許証返納者割引","")&amp;"は重複して適用しないものとする。")</f>
        <v>身体障害者割引、知的障害者割引は重複して適用しないものとする。</v>
      </c>
      <c r="Y150" s="261"/>
      <c r="Z150" s="261"/>
      <c r="AA150" s="261"/>
      <c r="AB150" s="261"/>
      <c r="AC150" s="261"/>
      <c r="AD150" s="261"/>
      <c r="AE150" s="261"/>
      <c r="AF150" s="261"/>
      <c r="AG150" s="261"/>
      <c r="AH150" s="261"/>
      <c r="AI150" s="261"/>
      <c r="AJ150" s="261"/>
      <c r="AK150" s="261"/>
      <c r="AL150" s="261"/>
    </row>
    <row r="151" spans="1:38" ht="12" customHeight="1" x14ac:dyDescent="0.2">
      <c r="A151" s="189">
        <v>13</v>
      </c>
      <c r="B151" s="173" t="str">
        <f>IF(OR(U163=0,U163=""),"",VLOOKUP(COUNTIF($U$142:U163,"・"),名前2!$A$18:$B$44,2,0))</f>
        <v/>
      </c>
      <c r="C151" s="261" t="str">
        <f t="shared" si="0"/>
        <v/>
      </c>
      <c r="D151" s="261"/>
      <c r="E151" s="261"/>
      <c r="F151" s="261"/>
      <c r="G151" s="261"/>
      <c r="H151" s="261"/>
      <c r="I151" s="261"/>
      <c r="J151" s="261"/>
      <c r="K151" s="261"/>
      <c r="L151" s="261"/>
      <c r="M151" s="261"/>
      <c r="N151" s="261"/>
      <c r="O151" s="261"/>
      <c r="P151" s="261"/>
      <c r="Q151" s="261"/>
      <c r="R151" s="261"/>
      <c r="S151" s="261"/>
      <c r="T151" s="261"/>
      <c r="U151" s="173" t="str">
        <f>IF(C139="","","・")</f>
        <v>・</v>
      </c>
      <c r="V151" s="173" t="str">
        <f>IF($X151&lt;&gt;"",MAX(V$140:V150)+1,"")</f>
        <v/>
      </c>
      <c r="W151" s="173" t="s">
        <v>97</v>
      </c>
      <c r="X151" s="265" t="str">
        <f>IF($Q$129="設定しない","",IF(手引き!$C$34="○","メーター器は、迎車のための回送料金を適用する場合、迎車機構（迎車のための",""))</f>
        <v/>
      </c>
      <c r="Y151" s="265"/>
      <c r="Z151" s="265"/>
      <c r="AA151" s="265"/>
      <c r="AB151" s="265"/>
      <c r="AC151" s="265"/>
      <c r="AD151" s="265"/>
      <c r="AE151" s="265"/>
      <c r="AF151" s="265"/>
      <c r="AG151" s="265"/>
      <c r="AH151" s="265"/>
      <c r="AI151" s="265"/>
      <c r="AJ151" s="265"/>
      <c r="AK151" s="265"/>
      <c r="AL151" s="265"/>
    </row>
    <row r="152" spans="1:38" ht="12" customHeight="1" x14ac:dyDescent="0.2">
      <c r="A152" s="189">
        <v>14</v>
      </c>
      <c r="B152" s="173" t="str">
        <f>IF(OR(U164=0,U164=""),"",VLOOKUP(COUNTIF($U$142:U164,"・"),名前2!$A$18:$B$44,2,0))</f>
        <v/>
      </c>
      <c r="C152" s="261" t="str">
        <f t="shared" si="0"/>
        <v/>
      </c>
      <c r="D152" s="261"/>
      <c r="E152" s="261"/>
      <c r="F152" s="261"/>
      <c r="G152" s="261"/>
      <c r="H152" s="261"/>
      <c r="I152" s="261"/>
      <c r="J152" s="261"/>
      <c r="K152" s="261"/>
      <c r="L152" s="261"/>
      <c r="M152" s="261"/>
      <c r="N152" s="261"/>
      <c r="O152" s="261"/>
      <c r="P152" s="261"/>
      <c r="Q152" s="261"/>
      <c r="R152" s="261"/>
      <c r="S152" s="261"/>
      <c r="T152" s="261"/>
      <c r="U152" s="173" t="str">
        <f t="shared" ref="U152:U170" si="3">IF(ISERROR(VLOOKUP($A140,$V$140:$AL$160,2,0)),"",VLOOKUP($A140,$V$140:$AL$160,2,0))</f>
        <v>・</v>
      </c>
      <c r="V152" s="173" t="str">
        <f>IF($X152&lt;&gt;"",MAX(V$140:V151)+1,"")</f>
        <v/>
      </c>
      <c r="W152" s="173"/>
      <c r="X152" s="261" t="str">
        <f>IF($Q$129="設定しない","",IF(手引き!$C$34="○","回送距離が初乗距離を超えるときは、これを超える部分について料金の積算機構が停止し、",""))</f>
        <v/>
      </c>
      <c r="Y152" s="261"/>
      <c r="Z152" s="261"/>
      <c r="AA152" s="261"/>
      <c r="AB152" s="261"/>
      <c r="AC152" s="261"/>
      <c r="AD152" s="261"/>
      <c r="AE152" s="261"/>
      <c r="AF152" s="261"/>
      <c r="AG152" s="261"/>
      <c r="AH152" s="261"/>
      <c r="AI152" s="261"/>
      <c r="AJ152" s="261"/>
      <c r="AK152" s="261"/>
      <c r="AL152" s="261"/>
    </row>
    <row r="153" spans="1:38" ht="12" customHeight="1" x14ac:dyDescent="0.2">
      <c r="A153" s="189">
        <v>15</v>
      </c>
      <c r="B153" s="173" t="str">
        <f>IF(OR(U165=0,U165=""),"",VLOOKUP(COUNTIF($U$142:U165,"・"),名前2!$A$18:$B$44,2,0))</f>
        <v/>
      </c>
      <c r="C153" s="261" t="str">
        <f t="shared" si="0"/>
        <v/>
      </c>
      <c r="D153" s="261"/>
      <c r="E153" s="261"/>
      <c r="F153" s="261"/>
      <c r="G153" s="261"/>
      <c r="H153" s="261"/>
      <c r="I153" s="261"/>
      <c r="J153" s="261"/>
      <c r="K153" s="261"/>
      <c r="L153" s="261"/>
      <c r="M153" s="261"/>
      <c r="N153" s="261"/>
      <c r="O153" s="261"/>
      <c r="P153" s="261"/>
      <c r="Q153" s="261"/>
      <c r="R153" s="261"/>
      <c r="S153" s="261"/>
      <c r="T153" s="261"/>
      <c r="U153" s="173">
        <f t="shared" si="3"/>
        <v>0</v>
      </c>
      <c r="V153" s="173" t="str">
        <f>IF($X153&lt;&gt;"",MAX(V$140:V152)+1,"")</f>
        <v/>
      </c>
      <c r="W153" s="173"/>
      <c r="X153" s="261" t="str">
        <f>IF($Q$129="設定しない","",IF(手引き!$C$34="○","初乗距離以内であるときは実車走行となっても引続いて初乗距離に至るまで初乗運賃額を",""))</f>
        <v/>
      </c>
      <c r="Y153" s="261"/>
      <c r="Z153" s="261"/>
      <c r="AA153" s="261"/>
      <c r="AB153" s="261"/>
      <c r="AC153" s="261"/>
      <c r="AD153" s="261"/>
      <c r="AE153" s="261"/>
      <c r="AF153" s="261"/>
      <c r="AG153" s="261"/>
      <c r="AH153" s="261"/>
      <c r="AI153" s="261"/>
      <c r="AJ153" s="261"/>
      <c r="AK153" s="261"/>
      <c r="AL153" s="261"/>
    </row>
    <row r="154" spans="1:38" ht="12" customHeight="1" x14ac:dyDescent="0.2">
      <c r="A154" s="189">
        <v>16</v>
      </c>
      <c r="B154" s="173" t="str">
        <f>IF(OR(U166=0,U166=""),"",VLOOKUP(COUNTIF($U$142:U166,"・"),名前2!$A$18:$B$44,2,0))</f>
        <v/>
      </c>
      <c r="C154" s="261" t="str">
        <f t="shared" si="0"/>
        <v/>
      </c>
      <c r="D154" s="261"/>
      <c r="E154" s="261"/>
      <c r="F154" s="261"/>
      <c r="G154" s="261"/>
      <c r="H154" s="261"/>
      <c r="I154" s="261"/>
      <c r="J154" s="261"/>
      <c r="K154" s="261"/>
      <c r="L154" s="261"/>
      <c r="M154" s="261"/>
      <c r="N154" s="261"/>
      <c r="O154" s="261"/>
      <c r="P154" s="261"/>
      <c r="Q154" s="261"/>
      <c r="R154" s="261"/>
      <c r="S154" s="261"/>
      <c r="T154" s="261"/>
      <c r="U154" s="173" t="str">
        <f t="shared" si="3"/>
        <v>・</v>
      </c>
      <c r="V154" s="173" t="str">
        <f>IF($X154&lt;&gt;"",MAX(V$140:V153)+1,"")</f>
        <v/>
      </c>
      <c r="W154" s="173"/>
      <c r="X154" s="261" t="str">
        <f>IF($Q$129="設定しない","",IF(手引き!$C$34="○","表示して走行する装置を有する機構をいう。）を有するものであること。",""))</f>
        <v/>
      </c>
      <c r="Y154" s="261"/>
      <c r="Z154" s="261"/>
      <c r="AA154" s="261"/>
      <c r="AB154" s="261"/>
      <c r="AC154" s="261"/>
      <c r="AD154" s="261"/>
      <c r="AE154" s="261"/>
      <c r="AF154" s="261"/>
      <c r="AG154" s="261"/>
      <c r="AH154" s="261"/>
      <c r="AI154" s="261"/>
      <c r="AJ154" s="261"/>
      <c r="AK154" s="261"/>
      <c r="AL154" s="261"/>
    </row>
    <row r="155" spans="1:38" ht="12" customHeight="1" x14ac:dyDescent="0.2">
      <c r="A155" s="189">
        <v>17</v>
      </c>
      <c r="B155" s="173" t="str">
        <f>IF(OR(U167=0,U167=""),"",VLOOKUP(COUNTIF($U$142:U167,"・"),名前2!$A$18:$B$44,2,0))</f>
        <v/>
      </c>
      <c r="C155" s="261" t="str">
        <f t="shared" si="0"/>
        <v/>
      </c>
      <c r="D155" s="261"/>
      <c r="E155" s="261"/>
      <c r="F155" s="261"/>
      <c r="G155" s="261"/>
      <c r="H155" s="261"/>
      <c r="I155" s="261"/>
      <c r="J155" s="261"/>
      <c r="K155" s="261"/>
      <c r="L155" s="261"/>
      <c r="M155" s="261"/>
      <c r="N155" s="261"/>
      <c r="O155" s="261"/>
      <c r="P155" s="261"/>
      <c r="Q155" s="261"/>
      <c r="R155" s="261"/>
      <c r="S155" s="261"/>
      <c r="T155" s="261"/>
      <c r="U155" s="173" t="str">
        <f t="shared" si="3"/>
        <v>・</v>
      </c>
      <c r="V155" s="173">
        <f>IF($X155&lt;&gt;"",MAX(V$140:V154)+1,"")</f>
        <v>5</v>
      </c>
      <c r="W155" s="173" t="str">
        <f>IF(X155="メーター器は、高速自動車国道及び道路法第48条の２第１項により指定された自動車専用道路","・","")</f>
        <v>・</v>
      </c>
      <c r="X155" s="261" t="str">
        <f>IF($Q$129="設定しない","",IF(手引き!C34="○","また、高速自動車国道及び道路法第48条の２第１項により指定された自動車専用道路","メーター器は、高速自動車国道及び道路法第48条の２第１項により指定された自動車専用道路"))</f>
        <v>メーター器は、高速自動車国道及び道路法第48条の２第１項により指定された自動車専用道路</v>
      </c>
      <c r="Y155" s="261"/>
      <c r="Z155" s="261"/>
      <c r="AA155" s="261"/>
      <c r="AB155" s="261"/>
      <c r="AC155" s="261"/>
      <c r="AD155" s="261"/>
      <c r="AE155" s="261"/>
      <c r="AF155" s="261"/>
      <c r="AG155" s="261"/>
      <c r="AH155" s="261"/>
      <c r="AI155" s="261"/>
      <c r="AJ155" s="261"/>
      <c r="AK155" s="261"/>
      <c r="AL155" s="261"/>
    </row>
    <row r="156" spans="1:38" ht="12" customHeight="1" x14ac:dyDescent="0.2">
      <c r="A156" s="189">
        <v>18</v>
      </c>
      <c r="B156" s="173" t="str">
        <f>IF(OR(U168=0,U168=""),"",VLOOKUP(COUNTIF($U$142:U168,"・"),名前2!$A$18:$B$44,2,0))</f>
        <v/>
      </c>
      <c r="C156" s="261" t="str">
        <f t="shared" si="0"/>
        <v/>
      </c>
      <c r="D156" s="261"/>
      <c r="E156" s="261"/>
      <c r="F156" s="261"/>
      <c r="G156" s="261"/>
      <c r="H156" s="261"/>
      <c r="I156" s="261"/>
      <c r="J156" s="261"/>
      <c r="K156" s="261"/>
      <c r="L156" s="261"/>
      <c r="M156" s="261"/>
      <c r="N156" s="261"/>
      <c r="O156" s="261"/>
      <c r="P156" s="261"/>
      <c r="Q156" s="261"/>
      <c r="R156" s="261"/>
      <c r="S156" s="261"/>
      <c r="T156" s="261"/>
      <c r="U156" s="173">
        <f t="shared" si="3"/>
        <v>0</v>
      </c>
      <c r="V156" s="173">
        <f>IF($X156&lt;&gt;"",MAX(V$140:V155)+1,"")</f>
        <v>6</v>
      </c>
      <c r="W156" s="173"/>
      <c r="X156" s="261" t="str">
        <f>IF($Q$129="設定しない","","（取付道路進入地点から退出地点までの区間に限る。）を走行する場合は、 ")</f>
        <v xml:space="preserve">（取付道路進入地点から退出地点までの区間に限る。）を走行する場合は、 </v>
      </c>
      <c r="Y156" s="261"/>
      <c r="Z156" s="261"/>
      <c r="AA156" s="261"/>
      <c r="AB156" s="261"/>
      <c r="AC156" s="261"/>
      <c r="AD156" s="261"/>
      <c r="AE156" s="261"/>
      <c r="AF156" s="261"/>
      <c r="AG156" s="261"/>
      <c r="AH156" s="261"/>
      <c r="AI156" s="261"/>
      <c r="AJ156" s="261"/>
      <c r="AK156" s="261"/>
      <c r="AL156" s="261"/>
    </row>
    <row r="157" spans="1:38" ht="12" customHeight="1" x14ac:dyDescent="0.2">
      <c r="A157" s="189">
        <v>19</v>
      </c>
      <c r="B157" s="173" t="str">
        <f>IF(OR(U169=0,U169=""),"",VLOOKUP(COUNTIF($U$142:U169,"・"),名前2!$A$18:$B$44,2,0))</f>
        <v/>
      </c>
      <c r="C157" s="261" t="str">
        <f t="shared" si="0"/>
        <v/>
      </c>
      <c r="D157" s="261"/>
      <c r="E157" s="261"/>
      <c r="F157" s="261"/>
      <c r="G157" s="261"/>
      <c r="H157" s="261"/>
      <c r="I157" s="261"/>
      <c r="J157" s="261"/>
      <c r="K157" s="261"/>
      <c r="L157" s="261"/>
      <c r="M157" s="261"/>
      <c r="N157" s="261"/>
      <c r="O157" s="261"/>
      <c r="P157" s="261"/>
      <c r="Q157" s="261"/>
      <c r="R157" s="261"/>
      <c r="S157" s="261"/>
      <c r="T157" s="261"/>
      <c r="U157" s="173">
        <f t="shared" si="3"/>
        <v>0</v>
      </c>
      <c r="V157" s="173">
        <f>IF($X157&lt;&gt;"",MAX(V$140:V156)+1,"")</f>
        <v>7</v>
      </c>
      <c r="W157" s="173"/>
      <c r="X157" s="261" t="str">
        <f>IF($Q$129="設定しない","","時間距離併用運賃の積算が停止する機能を有するものであること。")</f>
        <v>時間距離併用運賃の積算が停止する機能を有するものであること。</v>
      </c>
      <c r="Y157" s="261"/>
      <c r="Z157" s="261"/>
      <c r="AA157" s="261"/>
      <c r="AB157" s="261"/>
      <c r="AC157" s="261"/>
      <c r="AD157" s="261"/>
      <c r="AE157" s="261"/>
      <c r="AF157" s="261"/>
      <c r="AG157" s="261"/>
      <c r="AH157" s="261"/>
      <c r="AI157" s="261"/>
      <c r="AJ157" s="261"/>
      <c r="AK157" s="261"/>
      <c r="AL157" s="261"/>
    </row>
    <row r="158" spans="1:38" ht="12" customHeight="1" x14ac:dyDescent="0.2">
      <c r="A158" s="189">
        <v>20</v>
      </c>
      <c r="B158" s="173" t="str">
        <f>IF(OR(U170=0,U170=""),"",VLOOKUP(COUNTIF($U$142:U170,"・"),名前2!$A$18:$B$44,2,0))</f>
        <v/>
      </c>
      <c r="C158" s="261" t="str">
        <f t="shared" si="0"/>
        <v/>
      </c>
      <c r="D158" s="261"/>
      <c r="E158" s="261"/>
      <c r="F158" s="261"/>
      <c r="G158" s="261"/>
      <c r="H158" s="261"/>
      <c r="I158" s="261"/>
      <c r="J158" s="261"/>
      <c r="K158" s="261"/>
      <c r="L158" s="261"/>
      <c r="M158" s="261"/>
      <c r="N158" s="261"/>
      <c r="O158" s="261"/>
      <c r="P158" s="261"/>
      <c r="Q158" s="261"/>
      <c r="R158" s="261"/>
      <c r="S158" s="261"/>
      <c r="T158" s="261"/>
      <c r="U158" s="173" t="str">
        <f t="shared" si="3"/>
        <v/>
      </c>
      <c r="V158" s="173" t="str">
        <f>IF($X158&lt;&gt;"",MAX(V$140:V157)+1,"")</f>
        <v/>
      </c>
      <c r="W158" s="173" t="s">
        <v>97</v>
      </c>
      <c r="X158" s="261" t="str">
        <f>IF($Q$129="設定しない","",IF(手引き!$C$35="○","迎車回送料金を適用した場合の運賃及び料金の額は、上記により算出した運賃","")
)</f>
        <v/>
      </c>
      <c r="Y158" s="261"/>
      <c r="Z158" s="261"/>
      <c r="AA158" s="261"/>
      <c r="AB158" s="261"/>
      <c r="AC158" s="261"/>
      <c r="AD158" s="261"/>
      <c r="AE158" s="261"/>
      <c r="AF158" s="261"/>
      <c r="AG158" s="261"/>
      <c r="AH158" s="261"/>
      <c r="AI158" s="261"/>
      <c r="AJ158" s="261"/>
      <c r="AK158" s="261"/>
      <c r="AL158" s="261"/>
    </row>
    <row r="159" spans="1:38" ht="12" customHeight="1" x14ac:dyDescent="0.2">
      <c r="B159" s="186" t="s">
        <v>408</v>
      </c>
      <c r="C159" s="173"/>
      <c r="D159" s="173"/>
      <c r="E159" s="173"/>
      <c r="F159" s="173"/>
      <c r="G159" s="173"/>
      <c r="H159" s="173"/>
      <c r="I159" s="173"/>
      <c r="J159" s="173"/>
      <c r="K159" s="173"/>
      <c r="L159" s="173"/>
      <c r="M159" s="173"/>
      <c r="N159" s="173"/>
      <c r="O159" s="173"/>
      <c r="P159" s="173"/>
      <c r="Q159" s="173"/>
      <c r="R159" s="173"/>
      <c r="S159" s="173"/>
      <c r="T159" s="173"/>
      <c r="U159" s="173" t="str">
        <f t="shared" si="3"/>
        <v/>
      </c>
      <c r="V159" s="173" t="str">
        <f>IF($X159&lt;&gt;"",MAX(V$140:V158)+1,"")</f>
        <v/>
      </c>
      <c r="W159" s="173"/>
      <c r="X159" s="261" t="str">
        <f>IF($Q$129="設定しない","",IF(手引き!$C$35="○","額に迎車回送料金を加えた合計額とする。",""))</f>
        <v/>
      </c>
      <c r="Y159" s="261"/>
      <c r="Z159" s="261"/>
      <c r="AA159" s="261"/>
      <c r="AB159" s="261"/>
      <c r="AC159" s="261"/>
      <c r="AD159" s="261"/>
      <c r="AE159" s="261"/>
      <c r="AF159" s="261"/>
      <c r="AG159" s="261"/>
      <c r="AH159" s="261"/>
      <c r="AI159" s="261"/>
      <c r="AJ159" s="261"/>
      <c r="AK159" s="261"/>
      <c r="AL159" s="261"/>
    </row>
    <row r="160" spans="1:38" ht="12" customHeight="1" x14ac:dyDescent="0.2">
      <c r="B160" s="173" t="str">
        <f>IF(OR(U172=0,U172=""),"",VLOOKUP(COUNTIF($U$172:U172,"・"),名前2!$A$18:$B$44,2,0))</f>
        <v>イ</v>
      </c>
      <c r="C160" s="261" t="str">
        <f>IF($Q$129="設定しない","","時間制による運賃は、観光用、冠婚葬祭用等で距離制により難く、かつ時間制によることを特約した場合に適用する。")</f>
        <v>時間制による運賃は、観光用、冠婚葬祭用等で距離制により難く、かつ時間制によることを特約した場合に適用する。</v>
      </c>
      <c r="D160" s="261"/>
      <c r="E160" s="261"/>
      <c r="F160" s="261"/>
      <c r="G160" s="261"/>
      <c r="H160" s="261"/>
      <c r="I160" s="261"/>
      <c r="J160" s="261"/>
      <c r="K160" s="261"/>
      <c r="L160" s="261"/>
      <c r="M160" s="261"/>
      <c r="N160" s="261"/>
      <c r="O160" s="261"/>
      <c r="P160" s="261"/>
      <c r="Q160" s="261"/>
      <c r="R160" s="261"/>
      <c r="S160" s="261"/>
      <c r="T160" s="261"/>
      <c r="U160" s="173" t="str">
        <f t="shared" si="3"/>
        <v/>
      </c>
      <c r="V160" s="173" t="str">
        <f>IF($X160&lt;&gt;"",MAX(V$140:V159)+1,"")</f>
        <v/>
      </c>
      <c r="W160" s="173" t="s">
        <v>97</v>
      </c>
      <c r="X160" s="265" t="str">
        <f>IF($Q$129="設定しない","",IF(手引き!$C$35="○","迎車回送料金は、割増及び割引の適用をしない。",""))</f>
        <v/>
      </c>
      <c r="Y160" s="265"/>
      <c r="Z160" s="265"/>
      <c r="AA160" s="265"/>
      <c r="AB160" s="265"/>
      <c r="AC160" s="265"/>
      <c r="AD160" s="265"/>
      <c r="AE160" s="265"/>
      <c r="AF160" s="265"/>
      <c r="AG160" s="265"/>
      <c r="AH160" s="265"/>
      <c r="AI160" s="265"/>
      <c r="AJ160" s="265"/>
      <c r="AK160" s="265"/>
      <c r="AL160" s="265"/>
    </row>
    <row r="161" spans="1:39" ht="12" customHeight="1" x14ac:dyDescent="0.2">
      <c r="B161" s="173" t="str">
        <f>IF(OR(U173=0,U173=""),"",VLOOKUP(COUNTIF($U$172:U173,"・"),名前2!$A$18:$B$44,2,0))</f>
        <v>ロ</v>
      </c>
      <c r="C161" s="261" t="s">
        <v>409</v>
      </c>
      <c r="D161" s="261"/>
      <c r="E161" s="261"/>
      <c r="F161" s="261"/>
      <c r="G161" s="261"/>
      <c r="H161" s="261"/>
      <c r="I161" s="261"/>
      <c r="J161" s="261"/>
      <c r="K161" s="261"/>
      <c r="L161" s="261"/>
      <c r="M161" s="261"/>
      <c r="N161" s="261"/>
      <c r="O161" s="261"/>
      <c r="P161" s="261"/>
      <c r="Q161" s="261"/>
      <c r="R161" s="261"/>
      <c r="S161" s="261"/>
      <c r="T161" s="261"/>
      <c r="U161" s="173" t="str">
        <f t="shared" si="3"/>
        <v/>
      </c>
      <c r="W161" s="173"/>
    </row>
    <row r="162" spans="1:39" ht="12" customHeight="1" x14ac:dyDescent="0.2">
      <c r="B162" s="173" t="str">
        <f>IF(OR(U174=0,U174=""),"",VLOOKUP(COUNTIF($U$172:U174,"・"),名前2!$A$18:$B$44,2,0))</f>
        <v>ハ</v>
      </c>
      <c r="C162" s="261" t="str">
        <f>IF($AD$2="到着時算定開始","時間制による時間の計算は、旅客の指定した場所に到着した時から旅客の運送を終了するまでの実拘束時間による。","時間制による時間の計算は、通常、営業所又は車庫を旅客の要求により発車した時から運送を終わるまでの時間による。")</f>
        <v>時間制による時間の計算は、通常、営業所又は車庫を旅客の要求により発車した時から運送を終わるまでの時間による。</v>
      </c>
      <c r="D162" s="261"/>
      <c r="E162" s="261"/>
      <c r="F162" s="261"/>
      <c r="G162" s="261"/>
      <c r="H162" s="261"/>
      <c r="I162" s="261"/>
      <c r="J162" s="261"/>
      <c r="K162" s="261"/>
      <c r="L162" s="261"/>
      <c r="M162" s="261"/>
      <c r="N162" s="261"/>
      <c r="O162" s="261"/>
      <c r="P162" s="261"/>
      <c r="Q162" s="261"/>
      <c r="R162" s="261"/>
      <c r="S162" s="261"/>
      <c r="T162" s="261"/>
      <c r="U162" s="173" t="str">
        <f t="shared" si="3"/>
        <v/>
      </c>
      <c r="W162" s="173"/>
    </row>
    <row r="163" spans="1:39" ht="12" customHeight="1" x14ac:dyDescent="0.2">
      <c r="B163" s="173" t="str">
        <f>IF(OR(U175=0,U175=""),"",VLOOKUP(COUNTIF($U$172:U175,"・"),名前2!$A$18:$B$44,2,0))</f>
        <v>ニ</v>
      </c>
      <c r="C163" s="261" t="str">
        <f>IF(V79=0,"時間制運賃は30分単位とし、30分未満の端数が生じた場合は、切り上げるものとする。","時間制運賃は30分単位とし、30分未満の端数が生じた場合は、切り上げるものとする。")</f>
        <v>時間制運賃は30分単位とし、30分未満の端数が生じた場合は、切り上げるものとする。</v>
      </c>
      <c r="D163" s="261"/>
      <c r="E163" s="261"/>
      <c r="F163" s="261"/>
      <c r="G163" s="261"/>
      <c r="H163" s="261"/>
      <c r="I163" s="261"/>
      <c r="J163" s="261"/>
      <c r="K163" s="261"/>
      <c r="L163" s="261"/>
      <c r="M163" s="261"/>
      <c r="N163" s="261"/>
      <c r="O163" s="261"/>
      <c r="P163" s="261"/>
      <c r="Q163" s="261"/>
      <c r="R163" s="261"/>
      <c r="S163" s="261"/>
      <c r="T163" s="261"/>
      <c r="U163" s="173" t="str">
        <f t="shared" si="3"/>
        <v/>
      </c>
      <c r="W163" s="173"/>
    </row>
    <row r="164" spans="1:39" ht="12" customHeight="1" x14ac:dyDescent="0.2">
      <c r="B164" s="173" t="str">
        <f>IF(OR(U176=0,U176=""),"",VLOOKUP(COUNTIF($U$172:U176,"・"),名前2!$A$18:$B$44,2,0))</f>
        <v>ホ</v>
      </c>
      <c r="C164" s="261" t="str">
        <f>IF(Q129="設定しない","","時間制による運賃には、割増は適用しない。")</f>
        <v>時間制による運賃には、割増は適用しない。</v>
      </c>
      <c r="D164" s="261"/>
      <c r="E164" s="261"/>
      <c r="F164" s="261"/>
      <c r="G164" s="261"/>
      <c r="H164" s="261"/>
      <c r="I164" s="261"/>
      <c r="J164" s="261"/>
      <c r="K164" s="261"/>
      <c r="L164" s="261"/>
      <c r="M164" s="261"/>
      <c r="N164" s="261"/>
      <c r="O164" s="261"/>
      <c r="P164" s="261"/>
      <c r="Q164" s="261"/>
      <c r="R164" s="261"/>
      <c r="S164" s="261"/>
      <c r="T164" s="261"/>
      <c r="U164" s="173" t="str">
        <f t="shared" si="3"/>
        <v/>
      </c>
      <c r="W164" s="173"/>
    </row>
    <row r="165" spans="1:39" ht="12" customHeight="1" x14ac:dyDescent="0.2">
      <c r="B165" s="173" t="str">
        <f>IF(OR(U177=0,U177=""),"",VLOOKUP(COUNTIF($U$172:U177,"・"),名前2!$A$18:$B$44,2,0))</f>
        <v>ヘ</v>
      </c>
      <c r="C165" s="261" t="s">
        <v>87</v>
      </c>
      <c r="D165" s="261"/>
      <c r="E165" s="261"/>
      <c r="F165" s="261"/>
      <c r="G165" s="261"/>
      <c r="H165" s="261"/>
      <c r="I165" s="261"/>
      <c r="J165" s="261"/>
      <c r="K165" s="261"/>
      <c r="L165" s="261"/>
      <c r="M165" s="261"/>
      <c r="N165" s="261"/>
      <c r="O165" s="261"/>
      <c r="P165" s="261"/>
      <c r="Q165" s="261"/>
      <c r="R165" s="261"/>
      <c r="S165" s="261"/>
      <c r="T165" s="261"/>
      <c r="U165" s="173" t="str">
        <f t="shared" si="3"/>
        <v/>
      </c>
    </row>
    <row r="166" spans="1:39" ht="12" customHeight="1" x14ac:dyDescent="0.2">
      <c r="A166" s="189">
        <v>1</v>
      </c>
      <c r="B166" s="173" t="str">
        <f>IF(OR(U178=0,U178=""),"",VLOOKUP(COUNTIF($U$172:U178,"・"),名前2!$A$18:$B$44,2,0))</f>
        <v>ト</v>
      </c>
      <c r="C166" s="261" t="str">
        <f t="shared" ref="C166:C173" si="4">IF(ISERROR(VLOOKUP(A166,$V$168:$AL$175,3,0)),"",VLOOKUP(A166,$V$168:$AL$175,3,0))</f>
        <v>知的障害者割引は、療育手帳制度要綱（昭和48年９月27日、厚生事務次官通知）に規定する知的障害者の療育手帳の交付を受けている者について適用する。</v>
      </c>
      <c r="D166" s="261"/>
      <c r="E166" s="261"/>
      <c r="F166" s="261"/>
      <c r="G166" s="261"/>
      <c r="H166" s="261"/>
      <c r="I166" s="261"/>
      <c r="J166" s="261"/>
      <c r="K166" s="261"/>
      <c r="L166" s="261"/>
      <c r="M166" s="261"/>
      <c r="N166" s="261"/>
      <c r="O166" s="261"/>
      <c r="P166" s="261"/>
      <c r="Q166" s="261"/>
      <c r="R166" s="261"/>
      <c r="S166" s="261"/>
      <c r="T166" s="261"/>
      <c r="U166" s="173" t="str">
        <f t="shared" si="3"/>
        <v/>
      </c>
    </row>
    <row r="167" spans="1:39" ht="12" customHeight="1" x14ac:dyDescent="0.2">
      <c r="A167" s="189">
        <v>2</v>
      </c>
      <c r="B167" s="173" t="str">
        <f>IF(OR(U179=0,U179=""),"",VLOOKUP(COUNTIF($U$172:U179,"・"),名前2!$A$18:$B$44,2,0))</f>
        <v>チ</v>
      </c>
      <c r="C167" s="261" t="str">
        <f t="shared" si="4"/>
        <v>時間制による身体障害者割引、知的障害者割引は、</v>
      </c>
      <c r="D167" s="261"/>
      <c r="E167" s="261"/>
      <c r="F167" s="261"/>
      <c r="G167" s="261"/>
      <c r="H167" s="261"/>
      <c r="I167" s="261"/>
      <c r="J167" s="261"/>
      <c r="K167" s="261"/>
      <c r="L167" s="261"/>
      <c r="M167" s="261"/>
      <c r="N167" s="261"/>
      <c r="O167" s="261"/>
      <c r="P167" s="261"/>
      <c r="Q167" s="261"/>
      <c r="R167" s="261"/>
      <c r="S167" s="261"/>
      <c r="T167" s="261"/>
      <c r="U167" s="173" t="str">
        <f t="shared" si="3"/>
        <v/>
      </c>
    </row>
    <row r="168" spans="1:39" ht="12" customHeight="1" x14ac:dyDescent="0.2">
      <c r="A168" s="189">
        <v>3</v>
      </c>
      <c r="B168" s="173" t="str">
        <f>IF(OR(U180=0,U180=""),"",VLOOKUP(COUNTIF($U$172:U180,"・"),名前2!$A$18:$B$44,2,0))</f>
        <v/>
      </c>
      <c r="C168" s="261" t="str">
        <f t="shared" si="4"/>
        <v>上記により算出した運賃額に 0.9を乗じ、10円未満の端数を切り捨てた額とする。</v>
      </c>
      <c r="D168" s="261"/>
      <c r="E168" s="261"/>
      <c r="F168" s="261"/>
      <c r="G168" s="261"/>
      <c r="H168" s="261"/>
      <c r="I168" s="261"/>
      <c r="J168" s="261"/>
      <c r="K168" s="261"/>
      <c r="L168" s="261"/>
      <c r="M168" s="261"/>
      <c r="N168" s="261"/>
      <c r="O168" s="261"/>
      <c r="P168" s="261"/>
      <c r="Q168" s="261"/>
      <c r="R168" s="261"/>
      <c r="S168" s="261"/>
      <c r="T168" s="261"/>
      <c r="U168" s="173" t="str">
        <f t="shared" si="3"/>
        <v/>
      </c>
      <c r="V168" s="150">
        <v>1</v>
      </c>
      <c r="W168" s="150" t="s">
        <v>97</v>
      </c>
      <c r="X168" s="150" t="s">
        <v>88</v>
      </c>
      <c r="AM168" s="190"/>
    </row>
    <row r="169" spans="1:39" ht="12" customHeight="1" x14ac:dyDescent="0.2">
      <c r="A169" s="189">
        <v>4</v>
      </c>
      <c r="B169" s="173" t="str">
        <f>IF(OR(U181=0,U181=""),"",VLOOKUP(COUNTIF($U$172:U181,"・"),名前2!$A$18:$B$44,2,0))</f>
        <v>リ</v>
      </c>
      <c r="C169" s="261" t="str">
        <f t="shared" si="4"/>
        <v>時間制による身体障害者割引、知的障害者割引は、重複して適用しないものとする。</v>
      </c>
      <c r="D169" s="261"/>
      <c r="E169" s="261"/>
      <c r="F169" s="261"/>
      <c r="G169" s="261"/>
      <c r="H169" s="261"/>
      <c r="I169" s="261"/>
      <c r="J169" s="261"/>
      <c r="K169" s="261"/>
      <c r="L169" s="261"/>
      <c r="M169" s="261"/>
      <c r="N169" s="261"/>
      <c r="O169" s="261"/>
      <c r="P169" s="261"/>
      <c r="Q169" s="261"/>
      <c r="R169" s="261"/>
      <c r="S169" s="261"/>
      <c r="T169" s="261"/>
      <c r="U169" s="173" t="str">
        <f t="shared" si="3"/>
        <v/>
      </c>
      <c r="V169" s="173" t="str">
        <f>IF($X169&lt;&gt;"",MAX(V$168:V168)+1,"")</f>
        <v/>
      </c>
      <c r="W169" s="173" t="s">
        <v>97</v>
      </c>
      <c r="X169" s="173" t="str">
        <f>IF(手引き!$B$43="設定する","精神障害者割引は、精神保健及び精神障害者福祉に関する法律に規定する精神障害者保健福祉手帳の交付を受けている者について適用する。","")</f>
        <v/>
      </c>
      <c r="Y169" s="190"/>
      <c r="Z169" s="190"/>
      <c r="AA169" s="190"/>
      <c r="AB169" s="190"/>
      <c r="AC169" s="190"/>
      <c r="AD169" s="190"/>
      <c r="AE169" s="190"/>
      <c r="AF169" s="190"/>
      <c r="AG169" s="190"/>
      <c r="AH169" s="190"/>
      <c r="AI169" s="190"/>
      <c r="AJ169" s="190"/>
      <c r="AK169" s="190"/>
      <c r="AL169" s="190"/>
      <c r="AM169" s="190"/>
    </row>
    <row r="170" spans="1:39" ht="12" customHeight="1" x14ac:dyDescent="0.2">
      <c r="A170" s="189">
        <v>5</v>
      </c>
      <c r="B170" s="173" t="str">
        <f>IF(OR(U182=0,U182=""),"",VLOOKUP(COUNTIF($U$172:U182,"・"),名前2!$A$18:$B$44,2,0))</f>
        <v>ヌ</v>
      </c>
      <c r="C170" s="261" t="str">
        <f t="shared" si="4"/>
        <v>時間制による契約の場合は、メーター器にカバーを用い前面に「貸切」の表示をする。</v>
      </c>
      <c r="D170" s="261"/>
      <c r="E170" s="261"/>
      <c r="F170" s="261"/>
      <c r="G170" s="261"/>
      <c r="H170" s="261"/>
      <c r="I170" s="261"/>
      <c r="J170" s="261"/>
      <c r="K170" s="261"/>
      <c r="L170" s="261"/>
      <c r="M170" s="261"/>
      <c r="N170" s="261"/>
      <c r="O170" s="261"/>
      <c r="P170" s="261"/>
      <c r="Q170" s="261"/>
      <c r="R170" s="261"/>
      <c r="S170" s="261"/>
      <c r="T170" s="261"/>
      <c r="U170" s="173" t="str">
        <f t="shared" si="3"/>
        <v/>
      </c>
      <c r="V170" s="173" t="str">
        <f>IF($X170&lt;&gt;"",MAX(V$168:V169)+1,"")</f>
        <v/>
      </c>
      <c r="W170" s="173" t="s">
        <v>97</v>
      </c>
      <c r="X170" s="173" t="str">
        <f>IF(手引き!$B$44="設定する","高齢者割引は、公的機関が発行した年齢を確認できる書面等の提示をした65歳以上の者について適用する。","")</f>
        <v/>
      </c>
      <c r="Y170" s="190"/>
      <c r="Z170" s="190"/>
      <c r="AA170" s="190"/>
      <c r="AB170" s="190"/>
      <c r="AC170" s="190"/>
      <c r="AD170" s="190"/>
      <c r="AE170" s="190"/>
      <c r="AF170" s="190"/>
      <c r="AG170" s="190"/>
      <c r="AH170" s="190"/>
      <c r="AI170" s="190"/>
      <c r="AJ170" s="190"/>
      <c r="AK170" s="190"/>
      <c r="AL170" s="190"/>
      <c r="AM170" s="190"/>
    </row>
    <row r="171" spans="1:39" ht="12" customHeight="1" x14ac:dyDescent="0.2">
      <c r="A171" s="189">
        <v>6</v>
      </c>
      <c r="B171" s="173" t="str">
        <f>IF(OR(U183=0,U183=""),"",VLOOKUP(COUNTIF($U$172:U183,"・"),名前2!$A$18:$B$44,2,0))</f>
        <v/>
      </c>
      <c r="C171" s="261" t="str">
        <f t="shared" si="4"/>
        <v/>
      </c>
      <c r="D171" s="261"/>
      <c r="E171" s="261"/>
      <c r="F171" s="261"/>
      <c r="G171" s="261"/>
      <c r="H171" s="261"/>
      <c r="I171" s="261"/>
      <c r="J171" s="261"/>
      <c r="K171" s="261"/>
      <c r="L171" s="261"/>
      <c r="M171" s="261"/>
      <c r="N171" s="261"/>
      <c r="O171" s="261"/>
      <c r="P171" s="261"/>
      <c r="Q171" s="261"/>
      <c r="R171" s="261"/>
      <c r="S171" s="261"/>
      <c r="T171" s="261"/>
      <c r="V171" s="173" t="str">
        <f>IF($X171&lt;&gt;"",MAX(V$168:V170)+1,"")</f>
        <v/>
      </c>
      <c r="W171" s="173" t="s">
        <v>97</v>
      </c>
      <c r="X171" s="173" t="str">
        <f>IF(手引き!$B$45="設定する","運転免許証返納者割引は、自動車運転免許の全部を自ら返納することにより、公安委員会で発行される運転経歴証明書の交付を受けている者について適用する。","")</f>
        <v/>
      </c>
      <c r="Y171" s="190"/>
      <c r="Z171" s="190"/>
      <c r="AA171" s="190"/>
      <c r="AB171" s="190"/>
      <c r="AC171" s="190"/>
      <c r="AD171" s="190"/>
      <c r="AE171" s="190"/>
      <c r="AF171" s="190"/>
      <c r="AG171" s="190"/>
      <c r="AH171" s="190"/>
      <c r="AI171" s="190"/>
      <c r="AJ171" s="190"/>
      <c r="AK171" s="190"/>
      <c r="AL171" s="190"/>
      <c r="AM171" s="190"/>
    </row>
    <row r="172" spans="1:39" ht="12" customHeight="1" x14ac:dyDescent="0.2">
      <c r="A172" s="189">
        <v>7</v>
      </c>
      <c r="B172" s="173" t="str">
        <f>IF(OR(U184=0,U184=""),"",VLOOKUP(COUNTIF($U$172:U184,"・"),名前2!$A$18:$B$44,2,0))</f>
        <v/>
      </c>
      <c r="C172" s="261" t="str">
        <f t="shared" si="4"/>
        <v/>
      </c>
      <c r="D172" s="261"/>
      <c r="E172" s="261"/>
      <c r="F172" s="261"/>
      <c r="G172" s="261"/>
      <c r="H172" s="261"/>
      <c r="I172" s="261"/>
      <c r="J172" s="261"/>
      <c r="K172" s="261"/>
      <c r="L172" s="261"/>
      <c r="M172" s="261"/>
      <c r="N172" s="261"/>
      <c r="O172" s="261"/>
      <c r="P172" s="261"/>
      <c r="Q172" s="261"/>
      <c r="R172" s="261"/>
      <c r="S172" s="261"/>
      <c r="T172" s="261"/>
      <c r="U172" s="150" t="str">
        <f>IF(C160="","","・")</f>
        <v>・</v>
      </c>
      <c r="V172" s="173">
        <f>IF($X172&lt;&gt;"",MAX(V$168:V171)+1,"")</f>
        <v>2</v>
      </c>
      <c r="W172" s="173" t="s">
        <v>97</v>
      </c>
      <c r="X172" s="173" t="str">
        <f>"時間制による身体障害者割引、知的障害者割引"&amp;IF(手引き!$B$43="設定する","、精神障害者割引","")&amp;IF(手引き!$B$44="設定する","、高齢者割引","")&amp;IF(手引き!$B$45="設定する","、運転免許証返納者割引","")&amp;"は、"</f>
        <v>時間制による身体障害者割引、知的障害者割引は、</v>
      </c>
      <c r="Y172" s="190"/>
      <c r="Z172" s="190"/>
      <c r="AA172" s="190"/>
      <c r="AB172" s="190"/>
      <c r="AC172" s="190"/>
      <c r="AD172" s="190"/>
      <c r="AE172" s="190"/>
      <c r="AF172" s="190"/>
      <c r="AG172" s="190"/>
      <c r="AH172" s="190"/>
      <c r="AI172" s="190"/>
      <c r="AJ172" s="190"/>
      <c r="AK172" s="190"/>
      <c r="AL172" s="190"/>
      <c r="AM172" s="190"/>
    </row>
    <row r="173" spans="1:39" ht="12" customHeight="1" x14ac:dyDescent="0.2">
      <c r="A173" s="189">
        <v>8</v>
      </c>
      <c r="B173" s="173" t="str">
        <f>IF(OR(U185=0,U185=""),"",VLOOKUP(COUNTIF($U$172:U185,"・"),名前2!$A$18:$B$44,2,0))</f>
        <v/>
      </c>
      <c r="C173" s="261" t="str">
        <f t="shared" si="4"/>
        <v/>
      </c>
      <c r="D173" s="261"/>
      <c r="E173" s="261"/>
      <c r="F173" s="261"/>
      <c r="G173" s="261"/>
      <c r="H173" s="261"/>
      <c r="I173" s="261"/>
      <c r="J173" s="261"/>
      <c r="K173" s="261"/>
      <c r="L173" s="261"/>
      <c r="M173" s="261"/>
      <c r="N173" s="261"/>
      <c r="O173" s="261"/>
      <c r="P173" s="261"/>
      <c r="Q173" s="261"/>
      <c r="R173" s="261"/>
      <c r="S173" s="261"/>
      <c r="T173" s="261"/>
      <c r="U173" s="150" t="str">
        <f>IF(C161="","","・")</f>
        <v>・</v>
      </c>
      <c r="V173" s="173">
        <f>IF($X173&lt;&gt;"",MAX(V$168:V172)+1,"")</f>
        <v>3</v>
      </c>
      <c r="W173" s="173"/>
      <c r="X173" s="173" t="str">
        <f>"上記により算出した運賃額に 0.9を乗じ、10円未満の端数を切り捨てた額とする。"</f>
        <v>上記により算出した運賃額に 0.9を乗じ、10円未満の端数を切り捨てた額とする。</v>
      </c>
      <c r="Y173" s="190"/>
      <c r="Z173" s="190"/>
      <c r="AA173" s="190"/>
      <c r="AB173" s="190"/>
      <c r="AC173" s="190"/>
      <c r="AD173" s="190"/>
      <c r="AE173" s="190"/>
      <c r="AF173" s="190"/>
      <c r="AG173" s="190"/>
      <c r="AH173" s="190"/>
      <c r="AI173" s="190"/>
      <c r="AJ173" s="190"/>
      <c r="AK173" s="190"/>
      <c r="AL173" s="190"/>
      <c r="AM173" s="190"/>
    </row>
    <row r="174" spans="1:39" ht="12" customHeight="1" x14ac:dyDescent="0.2">
      <c r="B174" s="173"/>
      <c r="C174" s="191"/>
      <c r="D174" s="191"/>
      <c r="E174" s="191"/>
      <c r="F174" s="191"/>
      <c r="G174" s="191"/>
      <c r="H174" s="191"/>
      <c r="I174" s="191"/>
      <c r="J174" s="191"/>
      <c r="K174" s="191"/>
      <c r="L174" s="191"/>
      <c r="M174" s="191"/>
      <c r="N174" s="191"/>
      <c r="O174" s="191"/>
      <c r="P174" s="191"/>
      <c r="Q174" s="191"/>
      <c r="R174" s="191"/>
      <c r="S174" s="191"/>
      <c r="T174" s="191"/>
      <c r="U174" s="150" t="str">
        <f>IF(C162="","","・")</f>
        <v>・</v>
      </c>
      <c r="V174" s="173">
        <f>IF($X174&lt;&gt;"",MAX(V$168:V173)+1,"")</f>
        <v>4</v>
      </c>
      <c r="W174" s="173" t="s">
        <v>209</v>
      </c>
      <c r="X174" s="173" t="str">
        <f>"時間制による身体障害者割引、知的障害者割引"&amp;IF(手引き!$B$43="設定する","、精神障害者割引","")&amp;IF(手引き!$B$44="設定する","、高齢者割引","")&amp;IF(手引き!$B$45="設定する","、運転免許証返納者割引","")&amp;"は、重複して適用しないものとする。"</f>
        <v>時間制による身体障害者割引、知的障害者割引は、重複して適用しないものとする。</v>
      </c>
      <c r="Y174" s="190"/>
      <c r="Z174" s="190"/>
      <c r="AA174" s="190"/>
      <c r="AB174" s="190"/>
      <c r="AC174" s="190"/>
      <c r="AD174" s="190"/>
      <c r="AE174" s="190"/>
      <c r="AF174" s="190"/>
      <c r="AG174" s="190"/>
      <c r="AH174" s="190"/>
      <c r="AI174" s="190"/>
      <c r="AJ174" s="190"/>
      <c r="AK174" s="190"/>
      <c r="AL174" s="190"/>
      <c r="AM174" s="190"/>
    </row>
    <row r="175" spans="1:39" ht="12" customHeight="1" x14ac:dyDescent="0.2">
      <c r="A175" s="189">
        <v>6</v>
      </c>
      <c r="B175" s="173" t="str">
        <f>IF(OR(U193=0,U193=""),"",VLOOKUP(COUNTIF($U$188:U193,"・"),名前2!$A$18:$B$44,2,0))</f>
        <v/>
      </c>
      <c r="C175" s="261" t="str">
        <f t="shared" ref="C175:C181" si="5">IF(ISERROR(VLOOKUP(A175,$V$178:$AL$191,3,0)),"",VLOOKUP(A175,$V$178:$AL$191,3,0))</f>
        <v/>
      </c>
      <c r="D175" s="261"/>
      <c r="E175" s="261"/>
      <c r="F175" s="261"/>
      <c r="G175" s="261"/>
      <c r="H175" s="261"/>
      <c r="I175" s="261"/>
      <c r="J175" s="261"/>
      <c r="K175" s="261"/>
      <c r="L175" s="261"/>
      <c r="M175" s="261"/>
      <c r="N175" s="261"/>
      <c r="O175" s="261"/>
      <c r="P175" s="261"/>
      <c r="Q175" s="261"/>
      <c r="R175" s="261"/>
      <c r="S175" s="261"/>
      <c r="T175" s="261"/>
      <c r="U175" s="150" t="str">
        <f t="shared" ref="U175:U177" si="6">IF(C163="","","・")</f>
        <v>・</v>
      </c>
      <c r="V175" s="173">
        <f>IF($X175&lt;&gt;"",MAX(V$168:V174)+1,"")</f>
        <v>5</v>
      </c>
      <c r="W175" s="173" t="s">
        <v>97</v>
      </c>
      <c r="X175" s="173" t="str">
        <f>IF($Q$129="設定しない","時間制による契約の場合は、前面に「貸切」の表示をする。","時間制による契約の場合は、メーター器にカバーを用い前面に「貸切」の表示をする。")</f>
        <v>時間制による契約の場合は、メーター器にカバーを用い前面に「貸切」の表示をする。</v>
      </c>
      <c r="Y175" s="190"/>
      <c r="Z175" s="190"/>
      <c r="AA175" s="190"/>
      <c r="AB175" s="190"/>
      <c r="AC175" s="190"/>
      <c r="AD175" s="190"/>
      <c r="AE175" s="190"/>
      <c r="AF175" s="190"/>
      <c r="AG175" s="190"/>
      <c r="AH175" s="190"/>
      <c r="AI175" s="190"/>
      <c r="AJ175" s="190"/>
      <c r="AK175" s="190"/>
      <c r="AL175" s="190"/>
    </row>
    <row r="176" spans="1:39" ht="12" customHeight="1" x14ac:dyDescent="0.2">
      <c r="A176" s="189">
        <v>7</v>
      </c>
      <c r="B176" s="173" t="str">
        <f>IF(OR(U194=0,U194=""),"",VLOOKUP(COUNTIF($U$188:U194,"・"),名前2!$A$18:$B$44,2,0))</f>
        <v/>
      </c>
      <c r="C176" s="261" t="str">
        <f t="shared" si="5"/>
        <v/>
      </c>
      <c r="D176" s="261"/>
      <c r="E176" s="261"/>
      <c r="F176" s="261"/>
      <c r="G176" s="261"/>
      <c r="H176" s="261"/>
      <c r="I176" s="261"/>
      <c r="J176" s="261"/>
      <c r="K176" s="261"/>
      <c r="L176" s="261"/>
      <c r="M176" s="261"/>
      <c r="N176" s="261"/>
      <c r="O176" s="261"/>
      <c r="P176" s="261"/>
      <c r="Q176" s="261"/>
      <c r="R176" s="261"/>
      <c r="S176" s="261"/>
      <c r="T176" s="261"/>
      <c r="U176" s="150" t="str">
        <f>IF(C164="","","・")</f>
        <v>・</v>
      </c>
    </row>
    <row r="177" spans="1:25" ht="12" customHeight="1" x14ac:dyDescent="0.2">
      <c r="A177" s="189">
        <v>8</v>
      </c>
      <c r="B177" s="173" t="str">
        <f>IF(OR(U195=0,U195=""),"",VLOOKUP(COUNTIF($U$188:U195,"・"),名前2!$A$18:$B$44,2,0))</f>
        <v/>
      </c>
      <c r="C177" s="261" t="str">
        <f t="shared" si="5"/>
        <v/>
      </c>
      <c r="D177" s="261"/>
      <c r="E177" s="261"/>
      <c r="F177" s="261"/>
      <c r="G177" s="261"/>
      <c r="H177" s="261"/>
      <c r="I177" s="261"/>
      <c r="J177" s="261"/>
      <c r="K177" s="261"/>
      <c r="L177" s="261"/>
      <c r="M177" s="261"/>
      <c r="N177" s="261"/>
      <c r="O177" s="261"/>
      <c r="P177" s="261"/>
      <c r="Q177" s="261"/>
      <c r="R177" s="261"/>
      <c r="S177" s="261"/>
      <c r="T177" s="261"/>
      <c r="U177" s="150" t="str">
        <f t="shared" si="6"/>
        <v>・</v>
      </c>
    </row>
    <row r="178" spans="1:25" ht="12" customHeight="1" x14ac:dyDescent="0.2">
      <c r="A178" s="189">
        <v>9</v>
      </c>
      <c r="B178" s="173" t="str">
        <f>IF(OR(U196=0,U196=""),"",VLOOKUP(COUNTIF($U$188:U196,"・"),名前2!$A$18:$B$44,2,0))</f>
        <v/>
      </c>
      <c r="C178" s="261" t="str">
        <f t="shared" si="5"/>
        <v/>
      </c>
      <c r="D178" s="261"/>
      <c r="E178" s="261"/>
      <c r="F178" s="261"/>
      <c r="G178" s="261"/>
      <c r="H178" s="261"/>
      <c r="I178" s="261"/>
      <c r="J178" s="261"/>
      <c r="K178" s="261"/>
      <c r="L178" s="261"/>
      <c r="M178" s="261"/>
      <c r="N178" s="261"/>
      <c r="O178" s="261"/>
      <c r="P178" s="261"/>
      <c r="Q178" s="261"/>
      <c r="R178" s="261"/>
      <c r="S178" s="261"/>
      <c r="T178" s="261"/>
      <c r="U178" s="173" t="str">
        <f t="shared" ref="U178:U185" si="7">IF(ISERROR(VLOOKUP($A166,$V$168:$AL$175,2,0)),"",VLOOKUP($A166,$V$168:$AL$175,2,0))</f>
        <v>・</v>
      </c>
      <c r="W178" s="173"/>
      <c r="X178" s="173"/>
    </row>
    <row r="179" spans="1:25" ht="12" customHeight="1" x14ac:dyDescent="0.2">
      <c r="A179" s="189">
        <v>10</v>
      </c>
      <c r="B179" s="173" t="str">
        <f>IF(OR(U197=0,U197=""),"",VLOOKUP(COUNTIF($U$188:U197,"・"),名前2!$A$18:$B$44,2,0))</f>
        <v/>
      </c>
      <c r="C179" s="261" t="str">
        <f t="shared" si="5"/>
        <v/>
      </c>
      <c r="D179" s="261"/>
      <c r="E179" s="261"/>
      <c r="F179" s="261"/>
      <c r="G179" s="261"/>
      <c r="H179" s="261"/>
      <c r="I179" s="261"/>
      <c r="J179" s="261"/>
      <c r="K179" s="261"/>
      <c r="L179" s="261"/>
      <c r="M179" s="261"/>
      <c r="N179" s="261"/>
      <c r="O179" s="261"/>
      <c r="P179" s="261"/>
      <c r="Q179" s="261"/>
      <c r="R179" s="261"/>
      <c r="S179" s="261"/>
      <c r="T179" s="261"/>
      <c r="U179" s="173" t="str">
        <f t="shared" si="7"/>
        <v>・</v>
      </c>
      <c r="V179" s="173"/>
      <c r="W179" s="173"/>
      <c r="X179" s="173"/>
    </row>
    <row r="180" spans="1:25" ht="12" customHeight="1" x14ac:dyDescent="0.2">
      <c r="A180" s="189">
        <v>11</v>
      </c>
      <c r="B180" s="173" t="str">
        <f>IF(OR(U198=0,U198=""),"",VLOOKUP(COUNTIF($U$188:U198,"・"),名前2!$A$18:$B$44,2,0))</f>
        <v/>
      </c>
      <c r="C180" s="261" t="str">
        <f t="shared" si="5"/>
        <v/>
      </c>
      <c r="D180" s="261"/>
      <c r="E180" s="261"/>
      <c r="F180" s="261"/>
      <c r="G180" s="261"/>
      <c r="H180" s="261"/>
      <c r="I180" s="261"/>
      <c r="J180" s="261"/>
      <c r="K180" s="261"/>
      <c r="L180" s="261"/>
      <c r="M180" s="261"/>
      <c r="N180" s="261"/>
      <c r="O180" s="261"/>
      <c r="P180" s="261"/>
      <c r="Q180" s="261"/>
      <c r="R180" s="261"/>
      <c r="S180" s="261"/>
      <c r="T180" s="261"/>
      <c r="U180" s="173">
        <f t="shared" si="7"/>
        <v>0</v>
      </c>
      <c r="V180" s="173"/>
      <c r="W180" s="173"/>
      <c r="X180" s="173"/>
    </row>
    <row r="181" spans="1:25" ht="12" customHeight="1" x14ac:dyDescent="0.2">
      <c r="A181" s="189">
        <v>12</v>
      </c>
      <c r="B181" s="173" t="str">
        <f>IF(OR(U199=0,U199=""),"",VLOOKUP(COUNTIF($U$188:U199,"・"),名前2!$A$18:$B$44,2,0))</f>
        <v/>
      </c>
      <c r="C181" s="261" t="str">
        <f t="shared" si="5"/>
        <v/>
      </c>
      <c r="D181" s="261"/>
      <c r="E181" s="261"/>
      <c r="F181" s="261"/>
      <c r="G181" s="261"/>
      <c r="H181" s="261"/>
      <c r="I181" s="261"/>
      <c r="J181" s="261"/>
      <c r="K181" s="261"/>
      <c r="L181" s="261"/>
      <c r="M181" s="261"/>
      <c r="N181" s="261"/>
      <c r="O181" s="261"/>
      <c r="P181" s="261"/>
      <c r="Q181" s="261"/>
      <c r="R181" s="261"/>
      <c r="S181" s="261"/>
      <c r="T181" s="261"/>
      <c r="U181" s="173" t="str">
        <f t="shared" si="7"/>
        <v>・</v>
      </c>
      <c r="V181" s="173"/>
      <c r="W181" s="173"/>
      <c r="X181" s="173"/>
    </row>
    <row r="182" spans="1:25" ht="12" customHeight="1" x14ac:dyDescent="0.2">
      <c r="A182" s="189"/>
      <c r="B182" s="173" t="str">
        <f>IF(ISERROR(VLOOKUP($A182,$V$178:$AL$191,2,0)),"",VLOOKUP($A182,$V$178:$AL$191,2,0))</f>
        <v/>
      </c>
      <c r="C182" s="261"/>
      <c r="D182" s="261"/>
      <c r="E182" s="261"/>
      <c r="F182" s="261"/>
      <c r="G182" s="261"/>
      <c r="H182" s="261"/>
      <c r="I182" s="261"/>
      <c r="J182" s="261"/>
      <c r="K182" s="261"/>
      <c r="L182" s="261"/>
      <c r="M182" s="261"/>
      <c r="N182" s="261"/>
      <c r="O182" s="261"/>
      <c r="P182" s="261"/>
      <c r="Q182" s="261"/>
      <c r="R182" s="261"/>
      <c r="S182" s="261"/>
      <c r="T182" s="261"/>
      <c r="U182" s="173" t="str">
        <f t="shared" si="7"/>
        <v>・</v>
      </c>
      <c r="V182" s="173"/>
      <c r="W182" s="173"/>
      <c r="X182" s="173"/>
    </row>
    <row r="183" spans="1:25" ht="12" customHeight="1" x14ac:dyDescent="0.2">
      <c r="A183" s="189"/>
      <c r="B183" s="173"/>
      <c r="C183" s="261"/>
      <c r="D183" s="261"/>
      <c r="E183" s="261"/>
      <c r="F183" s="261"/>
      <c r="G183" s="261"/>
      <c r="H183" s="261"/>
      <c r="I183" s="261"/>
      <c r="J183" s="261"/>
      <c r="K183" s="261"/>
      <c r="L183" s="261"/>
      <c r="M183" s="261"/>
      <c r="N183" s="261"/>
      <c r="O183" s="261"/>
      <c r="P183" s="261"/>
      <c r="Q183" s="261"/>
      <c r="R183" s="261"/>
      <c r="S183" s="261"/>
      <c r="T183" s="261"/>
      <c r="U183" s="173" t="str">
        <f t="shared" si="7"/>
        <v/>
      </c>
      <c r="V183" s="173"/>
      <c r="W183" s="173"/>
      <c r="X183" s="173"/>
    </row>
    <row r="184" spans="1:25" ht="12" customHeight="1" x14ac:dyDescent="0.2">
      <c r="U184" s="173" t="str">
        <f t="shared" si="7"/>
        <v/>
      </c>
      <c r="V184" s="173"/>
      <c r="W184" s="173"/>
      <c r="X184" s="173"/>
    </row>
    <row r="185" spans="1:25" ht="12" customHeight="1" x14ac:dyDescent="0.2">
      <c r="U185" s="173" t="str">
        <f t="shared" si="7"/>
        <v/>
      </c>
      <c r="V185" s="173"/>
      <c r="W185" s="173"/>
      <c r="X185" s="173"/>
    </row>
    <row r="186" spans="1:25" ht="12" customHeight="1" x14ac:dyDescent="0.2">
      <c r="V186" s="173"/>
      <c r="W186" s="173"/>
      <c r="X186" s="53"/>
    </row>
    <row r="187" spans="1:25" ht="12" customHeight="1" x14ac:dyDescent="0.2">
      <c r="V187" s="173"/>
      <c r="W187" s="173"/>
      <c r="X187" s="173"/>
    </row>
    <row r="188" spans="1:25" ht="12" customHeight="1" x14ac:dyDescent="0.2">
      <c r="U188" s="173" t="str">
        <f>IF(ISERROR(VLOOKUP(#REF!,$V$178:$AL$191,2,0)),"",VLOOKUP(#REF!,$V$178:$AL$191,2,0))</f>
        <v/>
      </c>
      <c r="V188" s="173"/>
      <c r="W188" s="173"/>
      <c r="X188" s="53"/>
    </row>
    <row r="189" spans="1:25" ht="12" customHeight="1" x14ac:dyDescent="0.2">
      <c r="U189" s="173" t="str">
        <f>IF(ISERROR(VLOOKUP(#REF!,$V$178:$AL$191,2,0)),"",VLOOKUP(#REF!,$V$178:$AL$191,2,0))</f>
        <v/>
      </c>
      <c r="V189" s="173"/>
      <c r="W189" s="173"/>
      <c r="X189" s="53"/>
    </row>
    <row r="190" spans="1:25" ht="12" customHeight="1" x14ac:dyDescent="0.2">
      <c r="U190" s="173" t="str">
        <f>IF(ISERROR(VLOOKUP(#REF!,$V$178:$AL$191,2,0)),"",VLOOKUP(#REF!,$V$178:$AL$191,2,0))</f>
        <v/>
      </c>
      <c r="V190" s="173" t="str">
        <f>IF($X190&lt;&gt;"",MAX(V$178:V189)+1,"")</f>
        <v/>
      </c>
      <c r="W190" s="173"/>
      <c r="X190" s="173"/>
    </row>
    <row r="191" spans="1:25" ht="12" customHeight="1" x14ac:dyDescent="0.2">
      <c r="U191" s="173" t="str">
        <f>IF(ISERROR(VLOOKUP(#REF!,$V$178:$AL$191,2,0)),"",VLOOKUP(#REF!,$V$178:$AL$191,2,0))</f>
        <v/>
      </c>
      <c r="V191" s="173" t="str">
        <f>IF($X191&lt;&gt;"",MAX(V$178:V190)+1,"")</f>
        <v/>
      </c>
    </row>
    <row r="192" spans="1:25" ht="12" customHeight="1" x14ac:dyDescent="0.2">
      <c r="U192" s="173" t="str">
        <f>IF(ISERROR(VLOOKUP(#REF!,$V$178:$AL$191,2,0)),"",VLOOKUP(#REF!,$V$178:$AL$191,2,0))</f>
        <v/>
      </c>
      <c r="Y192" s="53"/>
    </row>
    <row r="193" spans="21:25" ht="12" customHeight="1" x14ac:dyDescent="0.2">
      <c r="U193" s="173" t="str">
        <f t="shared" ref="U193:U199" si="8">IF(ISERROR(VLOOKUP($A175,$V$178:$AL$191,2,0)),"",VLOOKUP($A175,$V$178:$AL$191,2,0))</f>
        <v/>
      </c>
      <c r="Y193" s="53"/>
    </row>
    <row r="194" spans="21:25" ht="12" customHeight="1" x14ac:dyDescent="0.2">
      <c r="U194" s="173" t="str">
        <f t="shared" si="8"/>
        <v/>
      </c>
      <c r="Y194" s="55"/>
    </row>
    <row r="195" spans="21:25" ht="12" customHeight="1" x14ac:dyDescent="0.2">
      <c r="U195" s="173" t="str">
        <f t="shared" si="8"/>
        <v/>
      </c>
    </row>
    <row r="196" spans="21:25" ht="12" customHeight="1" x14ac:dyDescent="0.2">
      <c r="U196" s="173" t="str">
        <f t="shared" si="8"/>
        <v/>
      </c>
      <c r="Y196" s="53"/>
    </row>
    <row r="197" spans="21:25" ht="12" customHeight="1" x14ac:dyDescent="0.2">
      <c r="U197" s="173" t="str">
        <f t="shared" si="8"/>
        <v/>
      </c>
      <c r="Y197" s="53"/>
    </row>
    <row r="198" spans="21:25" ht="12" customHeight="1" x14ac:dyDescent="0.2">
      <c r="U198" s="173" t="str">
        <f t="shared" si="8"/>
        <v/>
      </c>
      <c r="Y198" s="53"/>
    </row>
    <row r="199" spans="21:25" ht="18" customHeight="1" x14ac:dyDescent="0.2">
      <c r="U199" s="173" t="str">
        <f t="shared" si="8"/>
        <v/>
      </c>
      <c r="Y199" s="53"/>
    </row>
    <row r="200" spans="21:25" ht="18" customHeight="1" x14ac:dyDescent="0.2">
      <c r="Y200" s="55"/>
    </row>
  </sheetData>
  <sheetProtection algorithmName="SHA-512" hashValue="6FaCBgDFkX8+zGeHchBYesSzzYaVyxTddKjA6yxuIx+KOGWySIcbdkdDndeKPeuwEjVCgk88UF/6TO9PvQeTWA==" saltValue="M2F+oTfsMSk/XGqySMP9kg==" spinCount="100000" sheet="1" formatColumns="0" formatRows="0"/>
  <mergeCells count="82">
    <mergeCell ref="X150:AL150"/>
    <mergeCell ref="X148:AL148"/>
    <mergeCell ref="C139:T139"/>
    <mergeCell ref="X149:AL149"/>
    <mergeCell ref="C140:T140"/>
    <mergeCell ref="X147:AL147"/>
    <mergeCell ref="C141:T141"/>
    <mergeCell ref="X145:AL145"/>
    <mergeCell ref="X146:AL146"/>
    <mergeCell ref="X144:AL144"/>
    <mergeCell ref="X142:AL142"/>
    <mergeCell ref="X143:AL143"/>
    <mergeCell ref="X140:AL140"/>
    <mergeCell ref="X141:AL141"/>
    <mergeCell ref="C150:T150"/>
    <mergeCell ref="X160:AL160"/>
    <mergeCell ref="C144:T144"/>
    <mergeCell ref="X155:AL155"/>
    <mergeCell ref="C145:T145"/>
    <mergeCell ref="X156:AL156"/>
    <mergeCell ref="C146:T146"/>
    <mergeCell ref="X157:AL157"/>
    <mergeCell ref="X154:AL154"/>
    <mergeCell ref="C147:T147"/>
    <mergeCell ref="X158:AL158"/>
    <mergeCell ref="C148:T148"/>
    <mergeCell ref="X159:AL159"/>
    <mergeCell ref="C149:T149"/>
    <mergeCell ref="X152:AL152"/>
    <mergeCell ref="C153:T153"/>
    <mergeCell ref="C154:T154"/>
    <mergeCell ref="C173:T173"/>
    <mergeCell ref="C162:T162"/>
    <mergeCell ref="C155:T155"/>
    <mergeCell ref="C156:T156"/>
    <mergeCell ref="C157:T157"/>
    <mergeCell ref="C158:T158"/>
    <mergeCell ref="C160:T160"/>
    <mergeCell ref="C161:T161"/>
    <mergeCell ref="C166:T166"/>
    <mergeCell ref="C168:T168"/>
    <mergeCell ref="C169:T169"/>
    <mergeCell ref="C170:T170"/>
    <mergeCell ref="C163:T163"/>
    <mergeCell ref="C164:T164"/>
    <mergeCell ref="C165:T165"/>
    <mergeCell ref="C167:T167"/>
    <mergeCell ref="X153:AL153"/>
    <mergeCell ref="X151:AL151"/>
    <mergeCell ref="C172:T172"/>
    <mergeCell ref="R60:S60"/>
    <mergeCell ref="C171:T171"/>
    <mergeCell ref="C142:T142"/>
    <mergeCell ref="C143:T143"/>
    <mergeCell ref="C136:T136"/>
    <mergeCell ref="C137:T137"/>
    <mergeCell ref="C138:T138"/>
    <mergeCell ref="C133:T133"/>
    <mergeCell ref="C134:T134"/>
    <mergeCell ref="C135:T135"/>
    <mergeCell ref="C130:T130"/>
    <mergeCell ref="C131:T131"/>
    <mergeCell ref="R76:S76"/>
    <mergeCell ref="C151:T151"/>
    <mergeCell ref="C152:T152"/>
    <mergeCell ref="R59:S59"/>
    <mergeCell ref="R61:S61"/>
    <mergeCell ref="R62:S62"/>
    <mergeCell ref="C64:T66"/>
    <mergeCell ref="C132:T132"/>
    <mergeCell ref="R77:S77"/>
    <mergeCell ref="R78:S78"/>
    <mergeCell ref="R79:S79"/>
    <mergeCell ref="C183:T183"/>
    <mergeCell ref="C175:T175"/>
    <mergeCell ref="C176:T176"/>
    <mergeCell ref="C177:T177"/>
    <mergeCell ref="C178:T178"/>
    <mergeCell ref="C179:T179"/>
    <mergeCell ref="C180:T180"/>
    <mergeCell ref="C181:T181"/>
    <mergeCell ref="C182:T182"/>
  </mergeCells>
  <phoneticPr fontId="1"/>
  <pageMargins left="0.70866141732283472" right="0.70866141732283472" top="0.74803149606299213" bottom="0.74803149606299213" header="0.31496062992125984" footer="0.31496062992125984"/>
  <pageSetup paperSize="9" scale="86" fitToHeight="3" orientation="portrait" r:id="rId1"/>
  <rowBreaks count="2" manualBreakCount="2">
    <brk id="62" max="19" man="1"/>
    <brk id="128" max="19" man="1"/>
  </rowBreaks>
  <ignoredErrors>
    <ignoredError sqref="B68 B71 B75 B8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AC46"/>
  <sheetViews>
    <sheetView view="pageBreakPreview" zoomScaleNormal="100" zoomScaleSheetLayoutView="100" workbookViewId="0"/>
  </sheetViews>
  <sheetFormatPr defaultRowHeight="13.2" x14ac:dyDescent="0.2"/>
  <cols>
    <col min="1" max="1" width="4.88671875" style="25" customWidth="1"/>
    <col min="2" max="2" width="9" style="1"/>
    <col min="3" max="3" width="5.6640625" style="1" customWidth="1"/>
    <col min="4" max="4" width="3.33203125" style="1" customWidth="1"/>
    <col min="5" max="5" width="5.33203125" style="1" customWidth="1"/>
    <col min="6" max="6" width="2.88671875" style="1" customWidth="1"/>
    <col min="7" max="7" width="4.109375" style="1" customWidth="1"/>
    <col min="8" max="9" width="3.33203125" style="1" customWidth="1"/>
    <col min="10" max="10" width="2.6640625" style="1" customWidth="1"/>
    <col min="11" max="11" width="4.109375" style="1" customWidth="1"/>
    <col min="12" max="12" width="3.33203125" style="1" customWidth="1"/>
    <col min="13" max="13" width="4.109375" style="1" customWidth="1"/>
    <col min="14" max="14" width="3.33203125" style="1" customWidth="1"/>
    <col min="15" max="15" width="5" style="1" customWidth="1"/>
    <col min="16" max="16" width="9" style="1"/>
    <col min="17" max="17" width="7.6640625" style="1" customWidth="1"/>
    <col min="18" max="18" width="3.33203125" style="1" bestFit="1" customWidth="1"/>
    <col min="19" max="19" width="5.6640625" style="1" customWidth="1"/>
    <col min="20" max="27" width="0" style="1" hidden="1" customWidth="1"/>
    <col min="28" max="28" width="13.88671875" style="1" hidden="1" customWidth="1"/>
    <col min="29" max="35" width="0" style="1" hidden="1" customWidth="1"/>
    <col min="36" max="250" width="9" style="1"/>
    <col min="251" max="251" width="3.33203125" style="1" customWidth="1"/>
    <col min="252" max="252" width="9" style="1"/>
    <col min="253" max="253" width="5.6640625" style="1" customWidth="1"/>
    <col min="254" max="254" width="3.33203125" style="1" customWidth="1"/>
    <col min="255" max="255" width="5.33203125" style="1" customWidth="1"/>
    <col min="256" max="256" width="2.88671875" style="1" customWidth="1"/>
    <col min="257" max="257" width="4.109375" style="1" customWidth="1"/>
    <col min="258" max="259" width="3.33203125" style="1" customWidth="1"/>
    <col min="260" max="260" width="2.6640625" style="1" customWidth="1"/>
    <col min="261" max="261" width="4.109375" style="1" customWidth="1"/>
    <col min="262" max="262" width="3.33203125" style="1" customWidth="1"/>
    <col min="263" max="263" width="4.109375" style="1" customWidth="1"/>
    <col min="264" max="264" width="3.33203125" style="1" customWidth="1"/>
    <col min="265" max="265" width="2" style="1" customWidth="1"/>
    <col min="266" max="266" width="9" style="1"/>
    <col min="267" max="267" width="7.6640625" style="1" customWidth="1"/>
    <col min="268" max="268" width="3.33203125" style="1" bestFit="1" customWidth="1"/>
    <col min="269" max="269" width="5.6640625" style="1" customWidth="1"/>
    <col min="270" max="270" width="9" style="1"/>
    <col min="271" max="271" width="5.33203125" style="1" customWidth="1"/>
    <col min="272" max="506" width="9" style="1"/>
    <col min="507" max="507" width="3.33203125" style="1" customWidth="1"/>
    <col min="508" max="508" width="9" style="1"/>
    <col min="509" max="509" width="5.6640625" style="1" customWidth="1"/>
    <col min="510" max="510" width="3.33203125" style="1" customWidth="1"/>
    <col min="511" max="511" width="5.33203125" style="1" customWidth="1"/>
    <col min="512" max="512" width="2.88671875" style="1" customWidth="1"/>
    <col min="513" max="513" width="4.109375" style="1" customWidth="1"/>
    <col min="514" max="515" width="3.33203125" style="1" customWidth="1"/>
    <col min="516" max="516" width="2.6640625" style="1" customWidth="1"/>
    <col min="517" max="517" width="4.109375" style="1" customWidth="1"/>
    <col min="518" max="518" width="3.33203125" style="1" customWidth="1"/>
    <col min="519" max="519" width="4.109375" style="1" customWidth="1"/>
    <col min="520" max="520" width="3.33203125" style="1" customWidth="1"/>
    <col min="521" max="521" width="2" style="1" customWidth="1"/>
    <col min="522" max="522" width="9" style="1"/>
    <col min="523" max="523" width="7.6640625" style="1" customWidth="1"/>
    <col min="524" max="524" width="3.33203125" style="1" bestFit="1" customWidth="1"/>
    <col min="525" max="525" width="5.6640625" style="1" customWidth="1"/>
    <col min="526" max="526" width="9" style="1"/>
    <col min="527" max="527" width="5.33203125" style="1" customWidth="1"/>
    <col min="528" max="762" width="9" style="1"/>
    <col min="763" max="763" width="3.33203125" style="1" customWidth="1"/>
    <col min="764" max="764" width="9" style="1"/>
    <col min="765" max="765" width="5.6640625" style="1" customWidth="1"/>
    <col min="766" max="766" width="3.33203125" style="1" customWidth="1"/>
    <col min="767" max="767" width="5.33203125" style="1" customWidth="1"/>
    <col min="768" max="768" width="2.88671875" style="1" customWidth="1"/>
    <col min="769" max="769" width="4.109375" style="1" customWidth="1"/>
    <col min="770" max="771" width="3.33203125" style="1" customWidth="1"/>
    <col min="772" max="772" width="2.6640625" style="1" customWidth="1"/>
    <col min="773" max="773" width="4.109375" style="1" customWidth="1"/>
    <col min="774" max="774" width="3.33203125" style="1" customWidth="1"/>
    <col min="775" max="775" width="4.109375" style="1" customWidth="1"/>
    <col min="776" max="776" width="3.33203125" style="1" customWidth="1"/>
    <col min="777" max="777" width="2" style="1" customWidth="1"/>
    <col min="778" max="778" width="9" style="1"/>
    <col min="779" max="779" width="7.6640625" style="1" customWidth="1"/>
    <col min="780" max="780" width="3.33203125" style="1" bestFit="1" customWidth="1"/>
    <col min="781" max="781" width="5.6640625" style="1" customWidth="1"/>
    <col min="782" max="782" width="9" style="1"/>
    <col min="783" max="783" width="5.33203125" style="1" customWidth="1"/>
    <col min="784" max="1018" width="9" style="1"/>
    <col min="1019" max="1019" width="3.33203125" style="1" customWidth="1"/>
    <col min="1020" max="1020" width="9" style="1"/>
    <col min="1021" max="1021" width="5.6640625" style="1" customWidth="1"/>
    <col min="1022" max="1022" width="3.33203125" style="1" customWidth="1"/>
    <col min="1023" max="1023" width="5.33203125" style="1" customWidth="1"/>
    <col min="1024" max="1024" width="2.88671875" style="1" customWidth="1"/>
    <col min="1025" max="1025" width="4.109375" style="1" customWidth="1"/>
    <col min="1026" max="1027" width="3.33203125" style="1" customWidth="1"/>
    <col min="1028" max="1028" width="2.6640625" style="1" customWidth="1"/>
    <col min="1029" max="1029" width="4.109375" style="1" customWidth="1"/>
    <col min="1030" max="1030" width="3.33203125" style="1" customWidth="1"/>
    <col min="1031" max="1031" width="4.109375" style="1" customWidth="1"/>
    <col min="1032" max="1032" width="3.33203125" style="1" customWidth="1"/>
    <col min="1033" max="1033" width="2" style="1" customWidth="1"/>
    <col min="1034" max="1034" width="9" style="1"/>
    <col min="1035" max="1035" width="7.6640625" style="1" customWidth="1"/>
    <col min="1036" max="1036" width="3.33203125" style="1" bestFit="1" customWidth="1"/>
    <col min="1037" max="1037" width="5.6640625" style="1" customWidth="1"/>
    <col min="1038" max="1038" width="9" style="1"/>
    <col min="1039" max="1039" width="5.33203125" style="1" customWidth="1"/>
    <col min="1040" max="1274" width="9" style="1"/>
    <col min="1275" max="1275" width="3.33203125" style="1" customWidth="1"/>
    <col min="1276" max="1276" width="9" style="1"/>
    <col min="1277" max="1277" width="5.6640625" style="1" customWidth="1"/>
    <col min="1278" max="1278" width="3.33203125" style="1" customWidth="1"/>
    <col min="1279" max="1279" width="5.33203125" style="1" customWidth="1"/>
    <col min="1280" max="1280" width="2.88671875" style="1" customWidth="1"/>
    <col min="1281" max="1281" width="4.109375" style="1" customWidth="1"/>
    <col min="1282" max="1283" width="3.33203125" style="1" customWidth="1"/>
    <col min="1284" max="1284" width="2.6640625" style="1" customWidth="1"/>
    <col min="1285" max="1285" width="4.109375" style="1" customWidth="1"/>
    <col min="1286" max="1286" width="3.33203125" style="1" customWidth="1"/>
    <col min="1287" max="1287" width="4.109375" style="1" customWidth="1"/>
    <col min="1288" max="1288" width="3.33203125" style="1" customWidth="1"/>
    <col min="1289" max="1289" width="2" style="1" customWidth="1"/>
    <col min="1290" max="1290" width="9" style="1"/>
    <col min="1291" max="1291" width="7.6640625" style="1" customWidth="1"/>
    <col min="1292" max="1292" width="3.33203125" style="1" bestFit="1" customWidth="1"/>
    <col min="1293" max="1293" width="5.6640625" style="1" customWidth="1"/>
    <col min="1294" max="1294" width="9" style="1"/>
    <col min="1295" max="1295" width="5.33203125" style="1" customWidth="1"/>
    <col min="1296" max="1530" width="9" style="1"/>
    <col min="1531" max="1531" width="3.33203125" style="1" customWidth="1"/>
    <col min="1532" max="1532" width="9" style="1"/>
    <col min="1533" max="1533" width="5.6640625" style="1" customWidth="1"/>
    <col min="1534" max="1534" width="3.33203125" style="1" customWidth="1"/>
    <col min="1535" max="1535" width="5.33203125" style="1" customWidth="1"/>
    <col min="1536" max="1536" width="2.88671875" style="1" customWidth="1"/>
    <col min="1537" max="1537" width="4.109375" style="1" customWidth="1"/>
    <col min="1538" max="1539" width="3.33203125" style="1" customWidth="1"/>
    <col min="1540" max="1540" width="2.6640625" style="1" customWidth="1"/>
    <col min="1541" max="1541" width="4.109375" style="1" customWidth="1"/>
    <col min="1542" max="1542" width="3.33203125" style="1" customWidth="1"/>
    <col min="1543" max="1543" width="4.109375" style="1" customWidth="1"/>
    <col min="1544" max="1544" width="3.33203125" style="1" customWidth="1"/>
    <col min="1545" max="1545" width="2" style="1" customWidth="1"/>
    <col min="1546" max="1546" width="9" style="1"/>
    <col min="1547" max="1547" width="7.6640625" style="1" customWidth="1"/>
    <col min="1548" max="1548" width="3.33203125" style="1" bestFit="1" customWidth="1"/>
    <col min="1549" max="1549" width="5.6640625" style="1" customWidth="1"/>
    <col min="1550" max="1550" width="9" style="1"/>
    <col min="1551" max="1551" width="5.33203125" style="1" customWidth="1"/>
    <col min="1552" max="1786" width="9" style="1"/>
    <col min="1787" max="1787" width="3.33203125" style="1" customWidth="1"/>
    <col min="1788" max="1788" width="9" style="1"/>
    <col min="1789" max="1789" width="5.6640625" style="1" customWidth="1"/>
    <col min="1790" max="1790" width="3.33203125" style="1" customWidth="1"/>
    <col min="1791" max="1791" width="5.33203125" style="1" customWidth="1"/>
    <col min="1792" max="1792" width="2.88671875" style="1" customWidth="1"/>
    <col min="1793" max="1793" width="4.109375" style="1" customWidth="1"/>
    <col min="1794" max="1795" width="3.33203125" style="1" customWidth="1"/>
    <col min="1796" max="1796" width="2.6640625" style="1" customWidth="1"/>
    <col min="1797" max="1797" width="4.109375" style="1" customWidth="1"/>
    <col min="1798" max="1798" width="3.33203125" style="1" customWidth="1"/>
    <col min="1799" max="1799" width="4.109375" style="1" customWidth="1"/>
    <col min="1800" max="1800" width="3.33203125" style="1" customWidth="1"/>
    <col min="1801" max="1801" width="2" style="1" customWidth="1"/>
    <col min="1802" max="1802" width="9" style="1"/>
    <col min="1803" max="1803" width="7.6640625" style="1" customWidth="1"/>
    <col min="1804" max="1804" width="3.33203125" style="1" bestFit="1" customWidth="1"/>
    <col min="1805" max="1805" width="5.6640625" style="1" customWidth="1"/>
    <col min="1806" max="1806" width="9" style="1"/>
    <col min="1807" max="1807" width="5.33203125" style="1" customWidth="1"/>
    <col min="1808" max="2042" width="9" style="1"/>
    <col min="2043" max="2043" width="3.33203125" style="1" customWidth="1"/>
    <col min="2044" max="2044" width="9" style="1"/>
    <col min="2045" max="2045" width="5.6640625" style="1" customWidth="1"/>
    <col min="2046" max="2046" width="3.33203125" style="1" customWidth="1"/>
    <col min="2047" max="2047" width="5.33203125" style="1" customWidth="1"/>
    <col min="2048" max="2048" width="2.88671875" style="1" customWidth="1"/>
    <col min="2049" max="2049" width="4.109375" style="1" customWidth="1"/>
    <col min="2050" max="2051" width="3.33203125" style="1" customWidth="1"/>
    <col min="2052" max="2052" width="2.6640625" style="1" customWidth="1"/>
    <col min="2053" max="2053" width="4.109375" style="1" customWidth="1"/>
    <col min="2054" max="2054" width="3.33203125" style="1" customWidth="1"/>
    <col min="2055" max="2055" width="4.109375" style="1" customWidth="1"/>
    <col min="2056" max="2056" width="3.33203125" style="1" customWidth="1"/>
    <col min="2057" max="2057" width="2" style="1" customWidth="1"/>
    <col min="2058" max="2058" width="9" style="1"/>
    <col min="2059" max="2059" width="7.6640625" style="1" customWidth="1"/>
    <col min="2060" max="2060" width="3.33203125" style="1" bestFit="1" customWidth="1"/>
    <col min="2061" max="2061" width="5.6640625" style="1" customWidth="1"/>
    <col min="2062" max="2062" width="9" style="1"/>
    <col min="2063" max="2063" width="5.33203125" style="1" customWidth="1"/>
    <col min="2064" max="2298" width="9" style="1"/>
    <col min="2299" max="2299" width="3.33203125" style="1" customWidth="1"/>
    <col min="2300" max="2300" width="9" style="1"/>
    <col min="2301" max="2301" width="5.6640625" style="1" customWidth="1"/>
    <col min="2302" max="2302" width="3.33203125" style="1" customWidth="1"/>
    <col min="2303" max="2303" width="5.33203125" style="1" customWidth="1"/>
    <col min="2304" max="2304" width="2.88671875" style="1" customWidth="1"/>
    <col min="2305" max="2305" width="4.109375" style="1" customWidth="1"/>
    <col min="2306" max="2307" width="3.33203125" style="1" customWidth="1"/>
    <col min="2308" max="2308" width="2.6640625" style="1" customWidth="1"/>
    <col min="2309" max="2309" width="4.109375" style="1" customWidth="1"/>
    <col min="2310" max="2310" width="3.33203125" style="1" customWidth="1"/>
    <col min="2311" max="2311" width="4.109375" style="1" customWidth="1"/>
    <col min="2312" max="2312" width="3.33203125" style="1" customWidth="1"/>
    <col min="2313" max="2313" width="2" style="1" customWidth="1"/>
    <col min="2314" max="2314" width="9" style="1"/>
    <col min="2315" max="2315" width="7.6640625" style="1" customWidth="1"/>
    <col min="2316" max="2316" width="3.33203125" style="1" bestFit="1" customWidth="1"/>
    <col min="2317" max="2317" width="5.6640625" style="1" customWidth="1"/>
    <col min="2318" max="2318" width="9" style="1"/>
    <col min="2319" max="2319" width="5.33203125" style="1" customWidth="1"/>
    <col min="2320" max="2554" width="9" style="1"/>
    <col min="2555" max="2555" width="3.33203125" style="1" customWidth="1"/>
    <col min="2556" max="2556" width="9" style="1"/>
    <col min="2557" max="2557" width="5.6640625" style="1" customWidth="1"/>
    <col min="2558" max="2558" width="3.33203125" style="1" customWidth="1"/>
    <col min="2559" max="2559" width="5.33203125" style="1" customWidth="1"/>
    <col min="2560" max="2560" width="2.88671875" style="1" customWidth="1"/>
    <col min="2561" max="2561" width="4.109375" style="1" customWidth="1"/>
    <col min="2562" max="2563" width="3.33203125" style="1" customWidth="1"/>
    <col min="2564" max="2564" width="2.6640625" style="1" customWidth="1"/>
    <col min="2565" max="2565" width="4.109375" style="1" customWidth="1"/>
    <col min="2566" max="2566" width="3.33203125" style="1" customWidth="1"/>
    <col min="2567" max="2567" width="4.109375" style="1" customWidth="1"/>
    <col min="2568" max="2568" width="3.33203125" style="1" customWidth="1"/>
    <col min="2569" max="2569" width="2" style="1" customWidth="1"/>
    <col min="2570" max="2570" width="9" style="1"/>
    <col min="2571" max="2571" width="7.6640625" style="1" customWidth="1"/>
    <col min="2572" max="2572" width="3.33203125" style="1" bestFit="1" customWidth="1"/>
    <col min="2573" max="2573" width="5.6640625" style="1" customWidth="1"/>
    <col min="2574" max="2574" width="9" style="1"/>
    <col min="2575" max="2575" width="5.33203125" style="1" customWidth="1"/>
    <col min="2576" max="2810" width="9" style="1"/>
    <col min="2811" max="2811" width="3.33203125" style="1" customWidth="1"/>
    <col min="2812" max="2812" width="9" style="1"/>
    <col min="2813" max="2813" width="5.6640625" style="1" customWidth="1"/>
    <col min="2814" max="2814" width="3.33203125" style="1" customWidth="1"/>
    <col min="2815" max="2815" width="5.33203125" style="1" customWidth="1"/>
    <col min="2816" max="2816" width="2.88671875" style="1" customWidth="1"/>
    <col min="2817" max="2817" width="4.109375" style="1" customWidth="1"/>
    <col min="2818" max="2819" width="3.33203125" style="1" customWidth="1"/>
    <col min="2820" max="2820" width="2.6640625" style="1" customWidth="1"/>
    <col min="2821" max="2821" width="4.109375" style="1" customWidth="1"/>
    <col min="2822" max="2822" width="3.33203125" style="1" customWidth="1"/>
    <col min="2823" max="2823" width="4.109375" style="1" customWidth="1"/>
    <col min="2824" max="2824" width="3.33203125" style="1" customWidth="1"/>
    <col min="2825" max="2825" width="2" style="1" customWidth="1"/>
    <col min="2826" max="2826" width="9" style="1"/>
    <col min="2827" max="2827" width="7.6640625" style="1" customWidth="1"/>
    <col min="2828" max="2828" width="3.33203125" style="1" bestFit="1" customWidth="1"/>
    <col min="2829" max="2829" width="5.6640625" style="1" customWidth="1"/>
    <col min="2830" max="2830" width="9" style="1"/>
    <col min="2831" max="2831" width="5.33203125" style="1" customWidth="1"/>
    <col min="2832" max="3066" width="9" style="1"/>
    <col min="3067" max="3067" width="3.33203125" style="1" customWidth="1"/>
    <col min="3068" max="3068" width="9" style="1"/>
    <col min="3069" max="3069" width="5.6640625" style="1" customWidth="1"/>
    <col min="3070" max="3070" width="3.33203125" style="1" customWidth="1"/>
    <col min="3071" max="3071" width="5.33203125" style="1" customWidth="1"/>
    <col min="3072" max="3072" width="2.88671875" style="1" customWidth="1"/>
    <col min="3073" max="3073" width="4.109375" style="1" customWidth="1"/>
    <col min="3074" max="3075" width="3.33203125" style="1" customWidth="1"/>
    <col min="3076" max="3076" width="2.6640625" style="1" customWidth="1"/>
    <col min="3077" max="3077" width="4.109375" style="1" customWidth="1"/>
    <col min="3078" max="3078" width="3.33203125" style="1" customWidth="1"/>
    <col min="3079" max="3079" width="4.109375" style="1" customWidth="1"/>
    <col min="3080" max="3080" width="3.33203125" style="1" customWidth="1"/>
    <col min="3081" max="3081" width="2" style="1" customWidth="1"/>
    <col min="3082" max="3082" width="9" style="1"/>
    <col min="3083" max="3083" width="7.6640625" style="1" customWidth="1"/>
    <col min="3084" max="3084" width="3.33203125" style="1" bestFit="1" customWidth="1"/>
    <col min="3085" max="3085" width="5.6640625" style="1" customWidth="1"/>
    <col min="3086" max="3086" width="9" style="1"/>
    <col min="3087" max="3087" width="5.33203125" style="1" customWidth="1"/>
    <col min="3088" max="3322" width="9" style="1"/>
    <col min="3323" max="3323" width="3.33203125" style="1" customWidth="1"/>
    <col min="3324" max="3324" width="9" style="1"/>
    <col min="3325" max="3325" width="5.6640625" style="1" customWidth="1"/>
    <col min="3326" max="3326" width="3.33203125" style="1" customWidth="1"/>
    <col min="3327" max="3327" width="5.33203125" style="1" customWidth="1"/>
    <col min="3328" max="3328" width="2.88671875" style="1" customWidth="1"/>
    <col min="3329" max="3329" width="4.109375" style="1" customWidth="1"/>
    <col min="3330" max="3331" width="3.33203125" style="1" customWidth="1"/>
    <col min="3332" max="3332" width="2.6640625" style="1" customWidth="1"/>
    <col min="3333" max="3333" width="4.109375" style="1" customWidth="1"/>
    <col min="3334" max="3334" width="3.33203125" style="1" customWidth="1"/>
    <col min="3335" max="3335" width="4.109375" style="1" customWidth="1"/>
    <col min="3336" max="3336" width="3.33203125" style="1" customWidth="1"/>
    <col min="3337" max="3337" width="2" style="1" customWidth="1"/>
    <col min="3338" max="3338" width="9" style="1"/>
    <col min="3339" max="3339" width="7.6640625" style="1" customWidth="1"/>
    <col min="3340" max="3340" width="3.33203125" style="1" bestFit="1" customWidth="1"/>
    <col min="3341" max="3341" width="5.6640625" style="1" customWidth="1"/>
    <col min="3342" max="3342" width="9" style="1"/>
    <col min="3343" max="3343" width="5.33203125" style="1" customWidth="1"/>
    <col min="3344" max="3578" width="9" style="1"/>
    <col min="3579" max="3579" width="3.33203125" style="1" customWidth="1"/>
    <col min="3580" max="3580" width="9" style="1"/>
    <col min="3581" max="3581" width="5.6640625" style="1" customWidth="1"/>
    <col min="3582" max="3582" width="3.33203125" style="1" customWidth="1"/>
    <col min="3583" max="3583" width="5.33203125" style="1" customWidth="1"/>
    <col min="3584" max="3584" width="2.88671875" style="1" customWidth="1"/>
    <col min="3585" max="3585" width="4.109375" style="1" customWidth="1"/>
    <col min="3586" max="3587" width="3.33203125" style="1" customWidth="1"/>
    <col min="3588" max="3588" width="2.6640625" style="1" customWidth="1"/>
    <col min="3589" max="3589" width="4.109375" style="1" customWidth="1"/>
    <col min="3590" max="3590" width="3.33203125" style="1" customWidth="1"/>
    <col min="3591" max="3591" width="4.109375" style="1" customWidth="1"/>
    <col min="3592" max="3592" width="3.33203125" style="1" customWidth="1"/>
    <col min="3593" max="3593" width="2" style="1" customWidth="1"/>
    <col min="3594" max="3594" width="9" style="1"/>
    <col min="3595" max="3595" width="7.6640625" style="1" customWidth="1"/>
    <col min="3596" max="3596" width="3.33203125" style="1" bestFit="1" customWidth="1"/>
    <col min="3597" max="3597" width="5.6640625" style="1" customWidth="1"/>
    <col min="3598" max="3598" width="9" style="1"/>
    <col min="3599" max="3599" width="5.33203125" style="1" customWidth="1"/>
    <col min="3600" max="3834" width="9" style="1"/>
    <col min="3835" max="3835" width="3.33203125" style="1" customWidth="1"/>
    <col min="3836" max="3836" width="9" style="1"/>
    <col min="3837" max="3837" width="5.6640625" style="1" customWidth="1"/>
    <col min="3838" max="3838" width="3.33203125" style="1" customWidth="1"/>
    <col min="3839" max="3839" width="5.33203125" style="1" customWidth="1"/>
    <col min="3840" max="3840" width="2.88671875" style="1" customWidth="1"/>
    <col min="3841" max="3841" width="4.109375" style="1" customWidth="1"/>
    <col min="3842" max="3843" width="3.33203125" style="1" customWidth="1"/>
    <col min="3844" max="3844" width="2.6640625" style="1" customWidth="1"/>
    <col min="3845" max="3845" width="4.109375" style="1" customWidth="1"/>
    <col min="3846" max="3846" width="3.33203125" style="1" customWidth="1"/>
    <col min="3847" max="3847" width="4.109375" style="1" customWidth="1"/>
    <col min="3848" max="3848" width="3.33203125" style="1" customWidth="1"/>
    <col min="3849" max="3849" width="2" style="1" customWidth="1"/>
    <col min="3850" max="3850" width="9" style="1"/>
    <col min="3851" max="3851" width="7.6640625" style="1" customWidth="1"/>
    <col min="3852" max="3852" width="3.33203125" style="1" bestFit="1" customWidth="1"/>
    <col min="3853" max="3853" width="5.6640625" style="1" customWidth="1"/>
    <col min="3854" max="3854" width="9" style="1"/>
    <col min="3855" max="3855" width="5.33203125" style="1" customWidth="1"/>
    <col min="3856" max="4090" width="9" style="1"/>
    <col min="4091" max="4091" width="3.33203125" style="1" customWidth="1"/>
    <col min="4092" max="4092" width="9" style="1"/>
    <col min="4093" max="4093" width="5.6640625" style="1" customWidth="1"/>
    <col min="4094" max="4094" width="3.33203125" style="1" customWidth="1"/>
    <col min="4095" max="4095" width="5.33203125" style="1" customWidth="1"/>
    <col min="4096" max="4096" width="2.88671875" style="1" customWidth="1"/>
    <col min="4097" max="4097" width="4.109375" style="1" customWidth="1"/>
    <col min="4098" max="4099" width="3.33203125" style="1" customWidth="1"/>
    <col min="4100" max="4100" width="2.6640625" style="1" customWidth="1"/>
    <col min="4101" max="4101" width="4.109375" style="1" customWidth="1"/>
    <col min="4102" max="4102" width="3.33203125" style="1" customWidth="1"/>
    <col min="4103" max="4103" width="4.109375" style="1" customWidth="1"/>
    <col min="4104" max="4104" width="3.33203125" style="1" customWidth="1"/>
    <col min="4105" max="4105" width="2" style="1" customWidth="1"/>
    <col min="4106" max="4106" width="9" style="1"/>
    <col min="4107" max="4107" width="7.6640625" style="1" customWidth="1"/>
    <col min="4108" max="4108" width="3.33203125" style="1" bestFit="1" customWidth="1"/>
    <col min="4109" max="4109" width="5.6640625" style="1" customWidth="1"/>
    <col min="4110" max="4110" width="9" style="1"/>
    <col min="4111" max="4111" width="5.33203125" style="1" customWidth="1"/>
    <col min="4112" max="4346" width="9" style="1"/>
    <col min="4347" max="4347" width="3.33203125" style="1" customWidth="1"/>
    <col min="4348" max="4348" width="9" style="1"/>
    <col min="4349" max="4349" width="5.6640625" style="1" customWidth="1"/>
    <col min="4350" max="4350" width="3.33203125" style="1" customWidth="1"/>
    <col min="4351" max="4351" width="5.33203125" style="1" customWidth="1"/>
    <col min="4352" max="4352" width="2.88671875" style="1" customWidth="1"/>
    <col min="4353" max="4353" width="4.109375" style="1" customWidth="1"/>
    <col min="4354" max="4355" width="3.33203125" style="1" customWidth="1"/>
    <col min="4356" max="4356" width="2.6640625" style="1" customWidth="1"/>
    <col min="4357" max="4357" width="4.109375" style="1" customWidth="1"/>
    <col min="4358" max="4358" width="3.33203125" style="1" customWidth="1"/>
    <col min="4359" max="4359" width="4.109375" style="1" customWidth="1"/>
    <col min="4360" max="4360" width="3.33203125" style="1" customWidth="1"/>
    <col min="4361" max="4361" width="2" style="1" customWidth="1"/>
    <col min="4362" max="4362" width="9" style="1"/>
    <col min="4363" max="4363" width="7.6640625" style="1" customWidth="1"/>
    <col min="4364" max="4364" width="3.33203125" style="1" bestFit="1" customWidth="1"/>
    <col min="4365" max="4365" width="5.6640625" style="1" customWidth="1"/>
    <col min="4366" max="4366" width="9" style="1"/>
    <col min="4367" max="4367" width="5.33203125" style="1" customWidth="1"/>
    <col min="4368" max="4602" width="9" style="1"/>
    <col min="4603" max="4603" width="3.33203125" style="1" customWidth="1"/>
    <col min="4604" max="4604" width="9" style="1"/>
    <col min="4605" max="4605" width="5.6640625" style="1" customWidth="1"/>
    <col min="4606" max="4606" width="3.33203125" style="1" customWidth="1"/>
    <col min="4607" max="4607" width="5.33203125" style="1" customWidth="1"/>
    <col min="4608" max="4608" width="2.88671875" style="1" customWidth="1"/>
    <col min="4609" max="4609" width="4.109375" style="1" customWidth="1"/>
    <col min="4610" max="4611" width="3.33203125" style="1" customWidth="1"/>
    <col min="4612" max="4612" width="2.6640625" style="1" customWidth="1"/>
    <col min="4613" max="4613" width="4.109375" style="1" customWidth="1"/>
    <col min="4614" max="4614" width="3.33203125" style="1" customWidth="1"/>
    <col min="4615" max="4615" width="4.109375" style="1" customWidth="1"/>
    <col min="4616" max="4616" width="3.33203125" style="1" customWidth="1"/>
    <col min="4617" max="4617" width="2" style="1" customWidth="1"/>
    <col min="4618" max="4618" width="9" style="1"/>
    <col min="4619" max="4619" width="7.6640625" style="1" customWidth="1"/>
    <col min="4620" max="4620" width="3.33203125" style="1" bestFit="1" customWidth="1"/>
    <col min="4621" max="4621" width="5.6640625" style="1" customWidth="1"/>
    <col min="4622" max="4622" width="9" style="1"/>
    <col min="4623" max="4623" width="5.33203125" style="1" customWidth="1"/>
    <col min="4624" max="4858" width="9" style="1"/>
    <col min="4859" max="4859" width="3.33203125" style="1" customWidth="1"/>
    <col min="4860" max="4860" width="9" style="1"/>
    <col min="4861" max="4861" width="5.6640625" style="1" customWidth="1"/>
    <col min="4862" max="4862" width="3.33203125" style="1" customWidth="1"/>
    <col min="4863" max="4863" width="5.33203125" style="1" customWidth="1"/>
    <col min="4864" max="4864" width="2.88671875" style="1" customWidth="1"/>
    <col min="4865" max="4865" width="4.109375" style="1" customWidth="1"/>
    <col min="4866" max="4867" width="3.33203125" style="1" customWidth="1"/>
    <col min="4868" max="4868" width="2.6640625" style="1" customWidth="1"/>
    <col min="4869" max="4869" width="4.109375" style="1" customWidth="1"/>
    <col min="4870" max="4870" width="3.33203125" style="1" customWidth="1"/>
    <col min="4871" max="4871" width="4.109375" style="1" customWidth="1"/>
    <col min="4872" max="4872" width="3.33203125" style="1" customWidth="1"/>
    <col min="4873" max="4873" width="2" style="1" customWidth="1"/>
    <col min="4874" max="4874" width="9" style="1"/>
    <col min="4875" max="4875" width="7.6640625" style="1" customWidth="1"/>
    <col min="4876" max="4876" width="3.33203125" style="1" bestFit="1" customWidth="1"/>
    <col min="4877" max="4877" width="5.6640625" style="1" customWidth="1"/>
    <col min="4878" max="4878" width="9" style="1"/>
    <col min="4879" max="4879" width="5.33203125" style="1" customWidth="1"/>
    <col min="4880" max="5114" width="9" style="1"/>
    <col min="5115" max="5115" width="3.33203125" style="1" customWidth="1"/>
    <col min="5116" max="5116" width="9" style="1"/>
    <col min="5117" max="5117" width="5.6640625" style="1" customWidth="1"/>
    <col min="5118" max="5118" width="3.33203125" style="1" customWidth="1"/>
    <col min="5119" max="5119" width="5.33203125" style="1" customWidth="1"/>
    <col min="5120" max="5120" width="2.88671875" style="1" customWidth="1"/>
    <col min="5121" max="5121" width="4.109375" style="1" customWidth="1"/>
    <col min="5122" max="5123" width="3.33203125" style="1" customWidth="1"/>
    <col min="5124" max="5124" width="2.6640625" style="1" customWidth="1"/>
    <col min="5125" max="5125" width="4.109375" style="1" customWidth="1"/>
    <col min="5126" max="5126" width="3.33203125" style="1" customWidth="1"/>
    <col min="5127" max="5127" width="4.109375" style="1" customWidth="1"/>
    <col min="5128" max="5128" width="3.33203125" style="1" customWidth="1"/>
    <col min="5129" max="5129" width="2" style="1" customWidth="1"/>
    <col min="5130" max="5130" width="9" style="1"/>
    <col min="5131" max="5131" width="7.6640625" style="1" customWidth="1"/>
    <col min="5132" max="5132" width="3.33203125" style="1" bestFit="1" customWidth="1"/>
    <col min="5133" max="5133" width="5.6640625" style="1" customWidth="1"/>
    <col min="5134" max="5134" width="9" style="1"/>
    <col min="5135" max="5135" width="5.33203125" style="1" customWidth="1"/>
    <col min="5136" max="5370" width="9" style="1"/>
    <col min="5371" max="5371" width="3.33203125" style="1" customWidth="1"/>
    <col min="5372" max="5372" width="9" style="1"/>
    <col min="5373" max="5373" width="5.6640625" style="1" customWidth="1"/>
    <col min="5374" max="5374" width="3.33203125" style="1" customWidth="1"/>
    <col min="5375" max="5375" width="5.33203125" style="1" customWidth="1"/>
    <col min="5376" max="5376" width="2.88671875" style="1" customWidth="1"/>
    <col min="5377" max="5377" width="4.109375" style="1" customWidth="1"/>
    <col min="5378" max="5379" width="3.33203125" style="1" customWidth="1"/>
    <col min="5380" max="5380" width="2.6640625" style="1" customWidth="1"/>
    <col min="5381" max="5381" width="4.109375" style="1" customWidth="1"/>
    <col min="5382" max="5382" width="3.33203125" style="1" customWidth="1"/>
    <col min="5383" max="5383" width="4.109375" style="1" customWidth="1"/>
    <col min="5384" max="5384" width="3.33203125" style="1" customWidth="1"/>
    <col min="5385" max="5385" width="2" style="1" customWidth="1"/>
    <col min="5386" max="5386" width="9" style="1"/>
    <col min="5387" max="5387" width="7.6640625" style="1" customWidth="1"/>
    <col min="5388" max="5388" width="3.33203125" style="1" bestFit="1" customWidth="1"/>
    <col min="5389" max="5389" width="5.6640625" style="1" customWidth="1"/>
    <col min="5390" max="5390" width="9" style="1"/>
    <col min="5391" max="5391" width="5.33203125" style="1" customWidth="1"/>
    <col min="5392" max="5626" width="9" style="1"/>
    <col min="5627" max="5627" width="3.33203125" style="1" customWidth="1"/>
    <col min="5628" max="5628" width="9" style="1"/>
    <col min="5629" max="5629" width="5.6640625" style="1" customWidth="1"/>
    <col min="5630" max="5630" width="3.33203125" style="1" customWidth="1"/>
    <col min="5631" max="5631" width="5.33203125" style="1" customWidth="1"/>
    <col min="5632" max="5632" width="2.88671875" style="1" customWidth="1"/>
    <col min="5633" max="5633" width="4.109375" style="1" customWidth="1"/>
    <col min="5634" max="5635" width="3.33203125" style="1" customWidth="1"/>
    <col min="5636" max="5636" width="2.6640625" style="1" customWidth="1"/>
    <col min="5637" max="5637" width="4.109375" style="1" customWidth="1"/>
    <col min="5638" max="5638" width="3.33203125" style="1" customWidth="1"/>
    <col min="5639" max="5639" width="4.109375" style="1" customWidth="1"/>
    <col min="5640" max="5640" width="3.33203125" style="1" customWidth="1"/>
    <col min="5641" max="5641" width="2" style="1" customWidth="1"/>
    <col min="5642" max="5642" width="9" style="1"/>
    <col min="5643" max="5643" width="7.6640625" style="1" customWidth="1"/>
    <col min="5644" max="5644" width="3.33203125" style="1" bestFit="1" customWidth="1"/>
    <col min="5645" max="5645" width="5.6640625" style="1" customWidth="1"/>
    <col min="5646" max="5646" width="9" style="1"/>
    <col min="5647" max="5647" width="5.33203125" style="1" customWidth="1"/>
    <col min="5648" max="5882" width="9" style="1"/>
    <col min="5883" max="5883" width="3.33203125" style="1" customWidth="1"/>
    <col min="5884" max="5884" width="9" style="1"/>
    <col min="5885" max="5885" width="5.6640625" style="1" customWidth="1"/>
    <col min="5886" max="5886" width="3.33203125" style="1" customWidth="1"/>
    <col min="5887" max="5887" width="5.33203125" style="1" customWidth="1"/>
    <col min="5888" max="5888" width="2.88671875" style="1" customWidth="1"/>
    <col min="5889" max="5889" width="4.109375" style="1" customWidth="1"/>
    <col min="5890" max="5891" width="3.33203125" style="1" customWidth="1"/>
    <col min="5892" max="5892" width="2.6640625" style="1" customWidth="1"/>
    <col min="5893" max="5893" width="4.109375" style="1" customWidth="1"/>
    <col min="5894" max="5894" width="3.33203125" style="1" customWidth="1"/>
    <col min="5895" max="5895" width="4.109375" style="1" customWidth="1"/>
    <col min="5896" max="5896" width="3.33203125" style="1" customWidth="1"/>
    <col min="5897" max="5897" width="2" style="1" customWidth="1"/>
    <col min="5898" max="5898" width="9" style="1"/>
    <col min="5899" max="5899" width="7.6640625" style="1" customWidth="1"/>
    <col min="5900" max="5900" width="3.33203125" style="1" bestFit="1" customWidth="1"/>
    <col min="5901" max="5901" width="5.6640625" style="1" customWidth="1"/>
    <col min="5902" max="5902" width="9" style="1"/>
    <col min="5903" max="5903" width="5.33203125" style="1" customWidth="1"/>
    <col min="5904" max="6138" width="9" style="1"/>
    <col min="6139" max="6139" width="3.33203125" style="1" customWidth="1"/>
    <col min="6140" max="6140" width="9" style="1"/>
    <col min="6141" max="6141" width="5.6640625" style="1" customWidth="1"/>
    <col min="6142" max="6142" width="3.33203125" style="1" customWidth="1"/>
    <col min="6143" max="6143" width="5.33203125" style="1" customWidth="1"/>
    <col min="6144" max="6144" width="2.88671875" style="1" customWidth="1"/>
    <col min="6145" max="6145" width="4.109375" style="1" customWidth="1"/>
    <col min="6146" max="6147" width="3.33203125" style="1" customWidth="1"/>
    <col min="6148" max="6148" width="2.6640625" style="1" customWidth="1"/>
    <col min="6149" max="6149" width="4.109375" style="1" customWidth="1"/>
    <col min="6150" max="6150" width="3.33203125" style="1" customWidth="1"/>
    <col min="6151" max="6151" width="4.109375" style="1" customWidth="1"/>
    <col min="6152" max="6152" width="3.33203125" style="1" customWidth="1"/>
    <col min="6153" max="6153" width="2" style="1" customWidth="1"/>
    <col min="6154" max="6154" width="9" style="1"/>
    <col min="6155" max="6155" width="7.6640625" style="1" customWidth="1"/>
    <col min="6156" max="6156" width="3.33203125" style="1" bestFit="1" customWidth="1"/>
    <col min="6157" max="6157" width="5.6640625" style="1" customWidth="1"/>
    <col min="6158" max="6158" width="9" style="1"/>
    <col min="6159" max="6159" width="5.33203125" style="1" customWidth="1"/>
    <col min="6160" max="6394" width="9" style="1"/>
    <col min="6395" max="6395" width="3.33203125" style="1" customWidth="1"/>
    <col min="6396" max="6396" width="9" style="1"/>
    <col min="6397" max="6397" width="5.6640625" style="1" customWidth="1"/>
    <col min="6398" max="6398" width="3.33203125" style="1" customWidth="1"/>
    <col min="6399" max="6399" width="5.33203125" style="1" customWidth="1"/>
    <col min="6400" max="6400" width="2.88671875" style="1" customWidth="1"/>
    <col min="6401" max="6401" width="4.109375" style="1" customWidth="1"/>
    <col min="6402" max="6403" width="3.33203125" style="1" customWidth="1"/>
    <col min="6404" max="6404" width="2.6640625" style="1" customWidth="1"/>
    <col min="6405" max="6405" width="4.109375" style="1" customWidth="1"/>
    <col min="6406" max="6406" width="3.33203125" style="1" customWidth="1"/>
    <col min="6407" max="6407" width="4.109375" style="1" customWidth="1"/>
    <col min="6408" max="6408" width="3.33203125" style="1" customWidth="1"/>
    <col min="6409" max="6409" width="2" style="1" customWidth="1"/>
    <col min="6410" max="6410" width="9" style="1"/>
    <col min="6411" max="6411" width="7.6640625" style="1" customWidth="1"/>
    <col min="6412" max="6412" width="3.33203125" style="1" bestFit="1" customWidth="1"/>
    <col min="6413" max="6413" width="5.6640625" style="1" customWidth="1"/>
    <col min="6414" max="6414" width="9" style="1"/>
    <col min="6415" max="6415" width="5.33203125" style="1" customWidth="1"/>
    <col min="6416" max="6650" width="9" style="1"/>
    <col min="6651" max="6651" width="3.33203125" style="1" customWidth="1"/>
    <col min="6652" max="6652" width="9" style="1"/>
    <col min="6653" max="6653" width="5.6640625" style="1" customWidth="1"/>
    <col min="6654" max="6654" width="3.33203125" style="1" customWidth="1"/>
    <col min="6655" max="6655" width="5.33203125" style="1" customWidth="1"/>
    <col min="6656" max="6656" width="2.88671875" style="1" customWidth="1"/>
    <col min="6657" max="6657" width="4.109375" style="1" customWidth="1"/>
    <col min="6658" max="6659" width="3.33203125" style="1" customWidth="1"/>
    <col min="6660" max="6660" width="2.6640625" style="1" customWidth="1"/>
    <col min="6661" max="6661" width="4.109375" style="1" customWidth="1"/>
    <col min="6662" max="6662" width="3.33203125" style="1" customWidth="1"/>
    <col min="6663" max="6663" width="4.109375" style="1" customWidth="1"/>
    <col min="6664" max="6664" width="3.33203125" style="1" customWidth="1"/>
    <col min="6665" max="6665" width="2" style="1" customWidth="1"/>
    <col min="6666" max="6666" width="9" style="1"/>
    <col min="6667" max="6667" width="7.6640625" style="1" customWidth="1"/>
    <col min="6668" max="6668" width="3.33203125" style="1" bestFit="1" customWidth="1"/>
    <col min="6669" max="6669" width="5.6640625" style="1" customWidth="1"/>
    <col min="6670" max="6670" width="9" style="1"/>
    <col min="6671" max="6671" width="5.33203125" style="1" customWidth="1"/>
    <col min="6672" max="6906" width="9" style="1"/>
    <col min="6907" max="6907" width="3.33203125" style="1" customWidth="1"/>
    <col min="6908" max="6908" width="9" style="1"/>
    <col min="6909" max="6909" width="5.6640625" style="1" customWidth="1"/>
    <col min="6910" max="6910" width="3.33203125" style="1" customWidth="1"/>
    <col min="6911" max="6911" width="5.33203125" style="1" customWidth="1"/>
    <col min="6912" max="6912" width="2.88671875" style="1" customWidth="1"/>
    <col min="6913" max="6913" width="4.109375" style="1" customWidth="1"/>
    <col min="6914" max="6915" width="3.33203125" style="1" customWidth="1"/>
    <col min="6916" max="6916" width="2.6640625" style="1" customWidth="1"/>
    <col min="6917" max="6917" width="4.109375" style="1" customWidth="1"/>
    <col min="6918" max="6918" width="3.33203125" style="1" customWidth="1"/>
    <col min="6919" max="6919" width="4.109375" style="1" customWidth="1"/>
    <col min="6920" max="6920" width="3.33203125" style="1" customWidth="1"/>
    <col min="6921" max="6921" width="2" style="1" customWidth="1"/>
    <col min="6922" max="6922" width="9" style="1"/>
    <col min="6923" max="6923" width="7.6640625" style="1" customWidth="1"/>
    <col min="6924" max="6924" width="3.33203125" style="1" bestFit="1" customWidth="1"/>
    <col min="6925" max="6925" width="5.6640625" style="1" customWidth="1"/>
    <col min="6926" max="6926" width="9" style="1"/>
    <col min="6927" max="6927" width="5.33203125" style="1" customWidth="1"/>
    <col min="6928" max="7162" width="9" style="1"/>
    <col min="7163" max="7163" width="3.33203125" style="1" customWidth="1"/>
    <col min="7164" max="7164" width="9" style="1"/>
    <col min="7165" max="7165" width="5.6640625" style="1" customWidth="1"/>
    <col min="7166" max="7166" width="3.33203125" style="1" customWidth="1"/>
    <col min="7167" max="7167" width="5.33203125" style="1" customWidth="1"/>
    <col min="7168" max="7168" width="2.88671875" style="1" customWidth="1"/>
    <col min="7169" max="7169" width="4.109375" style="1" customWidth="1"/>
    <col min="7170" max="7171" width="3.33203125" style="1" customWidth="1"/>
    <col min="7172" max="7172" width="2.6640625" style="1" customWidth="1"/>
    <col min="7173" max="7173" width="4.109375" style="1" customWidth="1"/>
    <col min="7174" max="7174" width="3.33203125" style="1" customWidth="1"/>
    <col min="7175" max="7175" width="4.109375" style="1" customWidth="1"/>
    <col min="7176" max="7176" width="3.33203125" style="1" customWidth="1"/>
    <col min="7177" max="7177" width="2" style="1" customWidth="1"/>
    <col min="7178" max="7178" width="9" style="1"/>
    <col min="7179" max="7179" width="7.6640625" style="1" customWidth="1"/>
    <col min="7180" max="7180" width="3.33203125" style="1" bestFit="1" customWidth="1"/>
    <col min="7181" max="7181" width="5.6640625" style="1" customWidth="1"/>
    <col min="7182" max="7182" width="9" style="1"/>
    <col min="7183" max="7183" width="5.33203125" style="1" customWidth="1"/>
    <col min="7184" max="7418" width="9" style="1"/>
    <col min="7419" max="7419" width="3.33203125" style="1" customWidth="1"/>
    <col min="7420" max="7420" width="9" style="1"/>
    <col min="7421" max="7421" width="5.6640625" style="1" customWidth="1"/>
    <col min="7422" max="7422" width="3.33203125" style="1" customWidth="1"/>
    <col min="7423" max="7423" width="5.33203125" style="1" customWidth="1"/>
    <col min="7424" max="7424" width="2.88671875" style="1" customWidth="1"/>
    <col min="7425" max="7425" width="4.109375" style="1" customWidth="1"/>
    <col min="7426" max="7427" width="3.33203125" style="1" customWidth="1"/>
    <col min="7428" max="7428" width="2.6640625" style="1" customWidth="1"/>
    <col min="7429" max="7429" width="4.109375" style="1" customWidth="1"/>
    <col min="7430" max="7430" width="3.33203125" style="1" customWidth="1"/>
    <col min="7431" max="7431" width="4.109375" style="1" customWidth="1"/>
    <col min="7432" max="7432" width="3.33203125" style="1" customWidth="1"/>
    <col min="7433" max="7433" width="2" style="1" customWidth="1"/>
    <col min="7434" max="7434" width="9" style="1"/>
    <col min="7435" max="7435" width="7.6640625" style="1" customWidth="1"/>
    <col min="7436" max="7436" width="3.33203125" style="1" bestFit="1" customWidth="1"/>
    <col min="7437" max="7437" width="5.6640625" style="1" customWidth="1"/>
    <col min="7438" max="7438" width="9" style="1"/>
    <col min="7439" max="7439" width="5.33203125" style="1" customWidth="1"/>
    <col min="7440" max="7674" width="9" style="1"/>
    <col min="7675" max="7675" width="3.33203125" style="1" customWidth="1"/>
    <col min="7676" max="7676" width="9" style="1"/>
    <col min="7677" max="7677" width="5.6640625" style="1" customWidth="1"/>
    <col min="7678" max="7678" width="3.33203125" style="1" customWidth="1"/>
    <col min="7679" max="7679" width="5.33203125" style="1" customWidth="1"/>
    <col min="7680" max="7680" width="2.88671875" style="1" customWidth="1"/>
    <col min="7681" max="7681" width="4.109375" style="1" customWidth="1"/>
    <col min="7682" max="7683" width="3.33203125" style="1" customWidth="1"/>
    <col min="7684" max="7684" width="2.6640625" style="1" customWidth="1"/>
    <col min="7685" max="7685" width="4.109375" style="1" customWidth="1"/>
    <col min="7686" max="7686" width="3.33203125" style="1" customWidth="1"/>
    <col min="7687" max="7687" width="4.109375" style="1" customWidth="1"/>
    <col min="7688" max="7688" width="3.33203125" style="1" customWidth="1"/>
    <col min="7689" max="7689" width="2" style="1" customWidth="1"/>
    <col min="7690" max="7690" width="9" style="1"/>
    <col min="7691" max="7691" width="7.6640625" style="1" customWidth="1"/>
    <col min="7692" max="7692" width="3.33203125" style="1" bestFit="1" customWidth="1"/>
    <col min="7693" max="7693" width="5.6640625" style="1" customWidth="1"/>
    <col min="7694" max="7694" width="9" style="1"/>
    <col min="7695" max="7695" width="5.33203125" style="1" customWidth="1"/>
    <col min="7696" max="7930" width="9" style="1"/>
    <col min="7931" max="7931" width="3.33203125" style="1" customWidth="1"/>
    <col min="7932" max="7932" width="9" style="1"/>
    <col min="7933" max="7933" width="5.6640625" style="1" customWidth="1"/>
    <col min="7934" max="7934" width="3.33203125" style="1" customWidth="1"/>
    <col min="7935" max="7935" width="5.33203125" style="1" customWidth="1"/>
    <col min="7936" max="7936" width="2.88671875" style="1" customWidth="1"/>
    <col min="7937" max="7937" width="4.109375" style="1" customWidth="1"/>
    <col min="7938" max="7939" width="3.33203125" style="1" customWidth="1"/>
    <col min="7940" max="7940" width="2.6640625" style="1" customWidth="1"/>
    <col min="7941" max="7941" width="4.109375" style="1" customWidth="1"/>
    <col min="7942" max="7942" width="3.33203125" style="1" customWidth="1"/>
    <col min="7943" max="7943" width="4.109375" style="1" customWidth="1"/>
    <col min="7944" max="7944" width="3.33203125" style="1" customWidth="1"/>
    <col min="7945" max="7945" width="2" style="1" customWidth="1"/>
    <col min="7946" max="7946" width="9" style="1"/>
    <col min="7947" max="7947" width="7.6640625" style="1" customWidth="1"/>
    <col min="7948" max="7948" width="3.33203125" style="1" bestFit="1" customWidth="1"/>
    <col min="7949" max="7949" width="5.6640625" style="1" customWidth="1"/>
    <col min="7950" max="7950" width="9" style="1"/>
    <col min="7951" max="7951" width="5.33203125" style="1" customWidth="1"/>
    <col min="7952" max="8186" width="9" style="1"/>
    <col min="8187" max="8187" width="3.33203125" style="1" customWidth="1"/>
    <col min="8188" max="8188" width="9" style="1"/>
    <col min="8189" max="8189" width="5.6640625" style="1" customWidth="1"/>
    <col min="8190" max="8190" width="3.33203125" style="1" customWidth="1"/>
    <col min="8191" max="8191" width="5.33203125" style="1" customWidth="1"/>
    <col min="8192" max="8192" width="2.88671875" style="1" customWidth="1"/>
    <col min="8193" max="8193" width="4.109375" style="1" customWidth="1"/>
    <col min="8194" max="8195" width="3.33203125" style="1" customWidth="1"/>
    <col min="8196" max="8196" width="2.6640625" style="1" customWidth="1"/>
    <col min="8197" max="8197" width="4.109375" style="1" customWidth="1"/>
    <col min="8198" max="8198" width="3.33203125" style="1" customWidth="1"/>
    <col min="8199" max="8199" width="4.109375" style="1" customWidth="1"/>
    <col min="8200" max="8200" width="3.33203125" style="1" customWidth="1"/>
    <col min="8201" max="8201" width="2" style="1" customWidth="1"/>
    <col min="8202" max="8202" width="9" style="1"/>
    <col min="8203" max="8203" width="7.6640625" style="1" customWidth="1"/>
    <col min="8204" max="8204" width="3.33203125" style="1" bestFit="1" customWidth="1"/>
    <col min="8205" max="8205" width="5.6640625" style="1" customWidth="1"/>
    <col min="8206" max="8206" width="9" style="1"/>
    <col min="8207" max="8207" width="5.33203125" style="1" customWidth="1"/>
    <col min="8208" max="8442" width="9" style="1"/>
    <col min="8443" max="8443" width="3.33203125" style="1" customWidth="1"/>
    <col min="8444" max="8444" width="9" style="1"/>
    <col min="8445" max="8445" width="5.6640625" style="1" customWidth="1"/>
    <col min="8446" max="8446" width="3.33203125" style="1" customWidth="1"/>
    <col min="8447" max="8447" width="5.33203125" style="1" customWidth="1"/>
    <col min="8448" max="8448" width="2.88671875" style="1" customWidth="1"/>
    <col min="8449" max="8449" width="4.109375" style="1" customWidth="1"/>
    <col min="8450" max="8451" width="3.33203125" style="1" customWidth="1"/>
    <col min="8452" max="8452" width="2.6640625" style="1" customWidth="1"/>
    <col min="8453" max="8453" width="4.109375" style="1" customWidth="1"/>
    <col min="8454" max="8454" width="3.33203125" style="1" customWidth="1"/>
    <col min="8455" max="8455" width="4.109375" style="1" customWidth="1"/>
    <col min="8456" max="8456" width="3.33203125" style="1" customWidth="1"/>
    <col min="8457" max="8457" width="2" style="1" customWidth="1"/>
    <col min="8458" max="8458" width="9" style="1"/>
    <col min="8459" max="8459" width="7.6640625" style="1" customWidth="1"/>
    <col min="8460" max="8460" width="3.33203125" style="1" bestFit="1" customWidth="1"/>
    <col min="8461" max="8461" width="5.6640625" style="1" customWidth="1"/>
    <col min="8462" max="8462" width="9" style="1"/>
    <col min="8463" max="8463" width="5.33203125" style="1" customWidth="1"/>
    <col min="8464" max="8698" width="9" style="1"/>
    <col min="8699" max="8699" width="3.33203125" style="1" customWidth="1"/>
    <col min="8700" max="8700" width="9" style="1"/>
    <col min="8701" max="8701" width="5.6640625" style="1" customWidth="1"/>
    <col min="8702" max="8702" width="3.33203125" style="1" customWidth="1"/>
    <col min="8703" max="8703" width="5.33203125" style="1" customWidth="1"/>
    <col min="8704" max="8704" width="2.88671875" style="1" customWidth="1"/>
    <col min="8705" max="8705" width="4.109375" style="1" customWidth="1"/>
    <col min="8706" max="8707" width="3.33203125" style="1" customWidth="1"/>
    <col min="8708" max="8708" width="2.6640625" style="1" customWidth="1"/>
    <col min="8709" max="8709" width="4.109375" style="1" customWidth="1"/>
    <col min="8710" max="8710" width="3.33203125" style="1" customWidth="1"/>
    <col min="8711" max="8711" width="4.109375" style="1" customWidth="1"/>
    <col min="8712" max="8712" width="3.33203125" style="1" customWidth="1"/>
    <col min="8713" max="8713" width="2" style="1" customWidth="1"/>
    <col min="8714" max="8714" width="9" style="1"/>
    <col min="8715" max="8715" width="7.6640625" style="1" customWidth="1"/>
    <col min="8716" max="8716" width="3.33203125" style="1" bestFit="1" customWidth="1"/>
    <col min="8717" max="8717" width="5.6640625" style="1" customWidth="1"/>
    <col min="8718" max="8718" width="9" style="1"/>
    <col min="8719" max="8719" width="5.33203125" style="1" customWidth="1"/>
    <col min="8720" max="8954" width="9" style="1"/>
    <col min="8955" max="8955" width="3.33203125" style="1" customWidth="1"/>
    <col min="8956" max="8956" width="9" style="1"/>
    <col min="8957" max="8957" width="5.6640625" style="1" customWidth="1"/>
    <col min="8958" max="8958" width="3.33203125" style="1" customWidth="1"/>
    <col min="8959" max="8959" width="5.33203125" style="1" customWidth="1"/>
    <col min="8960" max="8960" width="2.88671875" style="1" customWidth="1"/>
    <col min="8961" max="8961" width="4.109375" style="1" customWidth="1"/>
    <col min="8962" max="8963" width="3.33203125" style="1" customWidth="1"/>
    <col min="8964" max="8964" width="2.6640625" style="1" customWidth="1"/>
    <col min="8965" max="8965" width="4.109375" style="1" customWidth="1"/>
    <col min="8966" max="8966" width="3.33203125" style="1" customWidth="1"/>
    <col min="8967" max="8967" width="4.109375" style="1" customWidth="1"/>
    <col min="8968" max="8968" width="3.33203125" style="1" customWidth="1"/>
    <col min="8969" max="8969" width="2" style="1" customWidth="1"/>
    <col min="8970" max="8970" width="9" style="1"/>
    <col min="8971" max="8971" width="7.6640625" style="1" customWidth="1"/>
    <col min="8972" max="8972" width="3.33203125" style="1" bestFit="1" customWidth="1"/>
    <col min="8973" max="8973" width="5.6640625" style="1" customWidth="1"/>
    <col min="8974" max="8974" width="9" style="1"/>
    <col min="8975" max="8975" width="5.33203125" style="1" customWidth="1"/>
    <col min="8976" max="9210" width="9" style="1"/>
    <col min="9211" max="9211" width="3.33203125" style="1" customWidth="1"/>
    <col min="9212" max="9212" width="9" style="1"/>
    <col min="9213" max="9213" width="5.6640625" style="1" customWidth="1"/>
    <col min="9214" max="9214" width="3.33203125" style="1" customWidth="1"/>
    <col min="9215" max="9215" width="5.33203125" style="1" customWidth="1"/>
    <col min="9216" max="9216" width="2.88671875" style="1" customWidth="1"/>
    <col min="9217" max="9217" width="4.109375" style="1" customWidth="1"/>
    <col min="9218" max="9219" width="3.33203125" style="1" customWidth="1"/>
    <col min="9220" max="9220" width="2.6640625" style="1" customWidth="1"/>
    <col min="9221" max="9221" width="4.109375" style="1" customWidth="1"/>
    <col min="9222" max="9222" width="3.33203125" style="1" customWidth="1"/>
    <col min="9223" max="9223" width="4.109375" style="1" customWidth="1"/>
    <col min="9224" max="9224" width="3.33203125" style="1" customWidth="1"/>
    <col min="9225" max="9225" width="2" style="1" customWidth="1"/>
    <col min="9226" max="9226" width="9" style="1"/>
    <col min="9227" max="9227" width="7.6640625" style="1" customWidth="1"/>
    <col min="9228" max="9228" width="3.33203125" style="1" bestFit="1" customWidth="1"/>
    <col min="9229" max="9229" width="5.6640625" style="1" customWidth="1"/>
    <col min="9230" max="9230" width="9" style="1"/>
    <col min="9231" max="9231" width="5.33203125" style="1" customWidth="1"/>
    <col min="9232" max="9466" width="9" style="1"/>
    <col min="9467" max="9467" width="3.33203125" style="1" customWidth="1"/>
    <col min="9468" max="9468" width="9" style="1"/>
    <col min="9469" max="9469" width="5.6640625" style="1" customWidth="1"/>
    <col min="9470" max="9470" width="3.33203125" style="1" customWidth="1"/>
    <col min="9471" max="9471" width="5.33203125" style="1" customWidth="1"/>
    <col min="9472" max="9472" width="2.88671875" style="1" customWidth="1"/>
    <col min="9473" max="9473" width="4.109375" style="1" customWidth="1"/>
    <col min="9474" max="9475" width="3.33203125" style="1" customWidth="1"/>
    <col min="9476" max="9476" width="2.6640625" style="1" customWidth="1"/>
    <col min="9477" max="9477" width="4.109375" style="1" customWidth="1"/>
    <col min="9478" max="9478" width="3.33203125" style="1" customWidth="1"/>
    <col min="9479" max="9479" width="4.109375" style="1" customWidth="1"/>
    <col min="9480" max="9480" width="3.33203125" style="1" customWidth="1"/>
    <col min="9481" max="9481" width="2" style="1" customWidth="1"/>
    <col min="9482" max="9482" width="9" style="1"/>
    <col min="9483" max="9483" width="7.6640625" style="1" customWidth="1"/>
    <col min="9484" max="9484" width="3.33203125" style="1" bestFit="1" customWidth="1"/>
    <col min="9485" max="9485" width="5.6640625" style="1" customWidth="1"/>
    <col min="9486" max="9486" width="9" style="1"/>
    <col min="9487" max="9487" width="5.33203125" style="1" customWidth="1"/>
    <col min="9488" max="9722" width="9" style="1"/>
    <col min="9723" max="9723" width="3.33203125" style="1" customWidth="1"/>
    <col min="9724" max="9724" width="9" style="1"/>
    <col min="9725" max="9725" width="5.6640625" style="1" customWidth="1"/>
    <col min="9726" max="9726" width="3.33203125" style="1" customWidth="1"/>
    <col min="9727" max="9727" width="5.33203125" style="1" customWidth="1"/>
    <col min="9728" max="9728" width="2.88671875" style="1" customWidth="1"/>
    <col min="9729" max="9729" width="4.109375" style="1" customWidth="1"/>
    <col min="9730" max="9731" width="3.33203125" style="1" customWidth="1"/>
    <col min="9732" max="9732" width="2.6640625" style="1" customWidth="1"/>
    <col min="9733" max="9733" width="4.109375" style="1" customWidth="1"/>
    <col min="9734" max="9734" width="3.33203125" style="1" customWidth="1"/>
    <col min="9735" max="9735" width="4.109375" style="1" customWidth="1"/>
    <col min="9736" max="9736" width="3.33203125" style="1" customWidth="1"/>
    <col min="9737" max="9737" width="2" style="1" customWidth="1"/>
    <col min="9738" max="9738" width="9" style="1"/>
    <col min="9739" max="9739" width="7.6640625" style="1" customWidth="1"/>
    <col min="9740" max="9740" width="3.33203125" style="1" bestFit="1" customWidth="1"/>
    <col min="9741" max="9741" width="5.6640625" style="1" customWidth="1"/>
    <col min="9742" max="9742" width="9" style="1"/>
    <col min="9743" max="9743" width="5.33203125" style="1" customWidth="1"/>
    <col min="9744" max="9978" width="9" style="1"/>
    <col min="9979" max="9979" width="3.33203125" style="1" customWidth="1"/>
    <col min="9980" max="9980" width="9" style="1"/>
    <col min="9981" max="9981" width="5.6640625" style="1" customWidth="1"/>
    <col min="9982" max="9982" width="3.33203125" style="1" customWidth="1"/>
    <col min="9983" max="9983" width="5.33203125" style="1" customWidth="1"/>
    <col min="9984" max="9984" width="2.88671875" style="1" customWidth="1"/>
    <col min="9985" max="9985" width="4.109375" style="1" customWidth="1"/>
    <col min="9986" max="9987" width="3.33203125" style="1" customWidth="1"/>
    <col min="9988" max="9988" width="2.6640625" style="1" customWidth="1"/>
    <col min="9989" max="9989" width="4.109375" style="1" customWidth="1"/>
    <col min="9990" max="9990" width="3.33203125" style="1" customWidth="1"/>
    <col min="9991" max="9991" width="4.109375" style="1" customWidth="1"/>
    <col min="9992" max="9992" width="3.33203125" style="1" customWidth="1"/>
    <col min="9993" max="9993" width="2" style="1" customWidth="1"/>
    <col min="9994" max="9994" width="9" style="1"/>
    <col min="9995" max="9995" width="7.6640625" style="1" customWidth="1"/>
    <col min="9996" max="9996" width="3.33203125" style="1" bestFit="1" customWidth="1"/>
    <col min="9997" max="9997" width="5.6640625" style="1" customWidth="1"/>
    <col min="9998" max="9998" width="9" style="1"/>
    <col min="9999" max="9999" width="5.33203125" style="1" customWidth="1"/>
    <col min="10000" max="10234" width="9" style="1"/>
    <col min="10235" max="10235" width="3.33203125" style="1" customWidth="1"/>
    <col min="10236" max="10236" width="9" style="1"/>
    <col min="10237" max="10237" width="5.6640625" style="1" customWidth="1"/>
    <col min="10238" max="10238" width="3.33203125" style="1" customWidth="1"/>
    <col min="10239" max="10239" width="5.33203125" style="1" customWidth="1"/>
    <col min="10240" max="10240" width="2.88671875" style="1" customWidth="1"/>
    <col min="10241" max="10241" width="4.109375" style="1" customWidth="1"/>
    <col min="10242" max="10243" width="3.33203125" style="1" customWidth="1"/>
    <col min="10244" max="10244" width="2.6640625" style="1" customWidth="1"/>
    <col min="10245" max="10245" width="4.109375" style="1" customWidth="1"/>
    <col min="10246" max="10246" width="3.33203125" style="1" customWidth="1"/>
    <col min="10247" max="10247" width="4.109375" style="1" customWidth="1"/>
    <col min="10248" max="10248" width="3.33203125" style="1" customWidth="1"/>
    <col min="10249" max="10249" width="2" style="1" customWidth="1"/>
    <col min="10250" max="10250" width="9" style="1"/>
    <col min="10251" max="10251" width="7.6640625" style="1" customWidth="1"/>
    <col min="10252" max="10252" width="3.33203125" style="1" bestFit="1" customWidth="1"/>
    <col min="10253" max="10253" width="5.6640625" style="1" customWidth="1"/>
    <col min="10254" max="10254" width="9" style="1"/>
    <col min="10255" max="10255" width="5.33203125" style="1" customWidth="1"/>
    <col min="10256" max="10490" width="9" style="1"/>
    <col min="10491" max="10491" width="3.33203125" style="1" customWidth="1"/>
    <col min="10492" max="10492" width="9" style="1"/>
    <col min="10493" max="10493" width="5.6640625" style="1" customWidth="1"/>
    <col min="10494" max="10494" width="3.33203125" style="1" customWidth="1"/>
    <col min="10495" max="10495" width="5.33203125" style="1" customWidth="1"/>
    <col min="10496" max="10496" width="2.88671875" style="1" customWidth="1"/>
    <col min="10497" max="10497" width="4.109375" style="1" customWidth="1"/>
    <col min="10498" max="10499" width="3.33203125" style="1" customWidth="1"/>
    <col min="10500" max="10500" width="2.6640625" style="1" customWidth="1"/>
    <col min="10501" max="10501" width="4.109375" style="1" customWidth="1"/>
    <col min="10502" max="10502" width="3.33203125" style="1" customWidth="1"/>
    <col min="10503" max="10503" width="4.109375" style="1" customWidth="1"/>
    <col min="10504" max="10504" width="3.33203125" style="1" customWidth="1"/>
    <col min="10505" max="10505" width="2" style="1" customWidth="1"/>
    <col min="10506" max="10506" width="9" style="1"/>
    <col min="10507" max="10507" width="7.6640625" style="1" customWidth="1"/>
    <col min="10508" max="10508" width="3.33203125" style="1" bestFit="1" customWidth="1"/>
    <col min="10509" max="10509" width="5.6640625" style="1" customWidth="1"/>
    <col min="10510" max="10510" width="9" style="1"/>
    <col min="10511" max="10511" width="5.33203125" style="1" customWidth="1"/>
    <col min="10512" max="10746" width="9" style="1"/>
    <col min="10747" max="10747" width="3.33203125" style="1" customWidth="1"/>
    <col min="10748" max="10748" width="9" style="1"/>
    <col min="10749" max="10749" width="5.6640625" style="1" customWidth="1"/>
    <col min="10750" max="10750" width="3.33203125" style="1" customWidth="1"/>
    <col min="10751" max="10751" width="5.33203125" style="1" customWidth="1"/>
    <col min="10752" max="10752" width="2.88671875" style="1" customWidth="1"/>
    <col min="10753" max="10753" width="4.109375" style="1" customWidth="1"/>
    <col min="10754" max="10755" width="3.33203125" style="1" customWidth="1"/>
    <col min="10756" max="10756" width="2.6640625" style="1" customWidth="1"/>
    <col min="10757" max="10757" width="4.109375" style="1" customWidth="1"/>
    <col min="10758" max="10758" width="3.33203125" style="1" customWidth="1"/>
    <col min="10759" max="10759" width="4.109375" style="1" customWidth="1"/>
    <col min="10760" max="10760" width="3.33203125" style="1" customWidth="1"/>
    <col min="10761" max="10761" width="2" style="1" customWidth="1"/>
    <col min="10762" max="10762" width="9" style="1"/>
    <col min="10763" max="10763" width="7.6640625" style="1" customWidth="1"/>
    <col min="10764" max="10764" width="3.33203125" style="1" bestFit="1" customWidth="1"/>
    <col min="10765" max="10765" width="5.6640625" style="1" customWidth="1"/>
    <col min="10766" max="10766" width="9" style="1"/>
    <col min="10767" max="10767" width="5.33203125" style="1" customWidth="1"/>
    <col min="10768" max="11002" width="9" style="1"/>
    <col min="11003" max="11003" width="3.33203125" style="1" customWidth="1"/>
    <col min="11004" max="11004" width="9" style="1"/>
    <col min="11005" max="11005" width="5.6640625" style="1" customWidth="1"/>
    <col min="11006" max="11006" width="3.33203125" style="1" customWidth="1"/>
    <col min="11007" max="11007" width="5.33203125" style="1" customWidth="1"/>
    <col min="11008" max="11008" width="2.88671875" style="1" customWidth="1"/>
    <col min="11009" max="11009" width="4.109375" style="1" customWidth="1"/>
    <col min="11010" max="11011" width="3.33203125" style="1" customWidth="1"/>
    <col min="11012" max="11012" width="2.6640625" style="1" customWidth="1"/>
    <col min="11013" max="11013" width="4.109375" style="1" customWidth="1"/>
    <col min="11014" max="11014" width="3.33203125" style="1" customWidth="1"/>
    <col min="11015" max="11015" width="4.109375" style="1" customWidth="1"/>
    <col min="11016" max="11016" width="3.33203125" style="1" customWidth="1"/>
    <col min="11017" max="11017" width="2" style="1" customWidth="1"/>
    <col min="11018" max="11018" width="9" style="1"/>
    <col min="11019" max="11019" width="7.6640625" style="1" customWidth="1"/>
    <col min="11020" max="11020" width="3.33203125" style="1" bestFit="1" customWidth="1"/>
    <col min="11021" max="11021" width="5.6640625" style="1" customWidth="1"/>
    <col min="11022" max="11022" width="9" style="1"/>
    <col min="11023" max="11023" width="5.33203125" style="1" customWidth="1"/>
    <col min="11024" max="11258" width="9" style="1"/>
    <col min="11259" max="11259" width="3.33203125" style="1" customWidth="1"/>
    <col min="11260" max="11260" width="9" style="1"/>
    <col min="11261" max="11261" width="5.6640625" style="1" customWidth="1"/>
    <col min="11262" max="11262" width="3.33203125" style="1" customWidth="1"/>
    <col min="11263" max="11263" width="5.33203125" style="1" customWidth="1"/>
    <col min="11264" max="11264" width="2.88671875" style="1" customWidth="1"/>
    <col min="11265" max="11265" width="4.109375" style="1" customWidth="1"/>
    <col min="11266" max="11267" width="3.33203125" style="1" customWidth="1"/>
    <col min="11268" max="11268" width="2.6640625" style="1" customWidth="1"/>
    <col min="11269" max="11269" width="4.109375" style="1" customWidth="1"/>
    <col min="11270" max="11270" width="3.33203125" style="1" customWidth="1"/>
    <col min="11271" max="11271" width="4.109375" style="1" customWidth="1"/>
    <col min="11272" max="11272" width="3.33203125" style="1" customWidth="1"/>
    <col min="11273" max="11273" width="2" style="1" customWidth="1"/>
    <col min="11274" max="11274" width="9" style="1"/>
    <col min="11275" max="11275" width="7.6640625" style="1" customWidth="1"/>
    <col min="11276" max="11276" width="3.33203125" style="1" bestFit="1" customWidth="1"/>
    <col min="11277" max="11277" width="5.6640625" style="1" customWidth="1"/>
    <col min="11278" max="11278" width="9" style="1"/>
    <col min="11279" max="11279" width="5.33203125" style="1" customWidth="1"/>
    <col min="11280" max="11514" width="9" style="1"/>
    <col min="11515" max="11515" width="3.33203125" style="1" customWidth="1"/>
    <col min="11516" max="11516" width="9" style="1"/>
    <col min="11517" max="11517" width="5.6640625" style="1" customWidth="1"/>
    <col min="11518" max="11518" width="3.33203125" style="1" customWidth="1"/>
    <col min="11519" max="11519" width="5.33203125" style="1" customWidth="1"/>
    <col min="11520" max="11520" width="2.88671875" style="1" customWidth="1"/>
    <col min="11521" max="11521" width="4.109375" style="1" customWidth="1"/>
    <col min="11522" max="11523" width="3.33203125" style="1" customWidth="1"/>
    <col min="11524" max="11524" width="2.6640625" style="1" customWidth="1"/>
    <col min="11525" max="11525" width="4.109375" style="1" customWidth="1"/>
    <col min="11526" max="11526" width="3.33203125" style="1" customWidth="1"/>
    <col min="11527" max="11527" width="4.109375" style="1" customWidth="1"/>
    <col min="11528" max="11528" width="3.33203125" style="1" customWidth="1"/>
    <col min="11529" max="11529" width="2" style="1" customWidth="1"/>
    <col min="11530" max="11530" width="9" style="1"/>
    <col min="11531" max="11531" width="7.6640625" style="1" customWidth="1"/>
    <col min="11532" max="11532" width="3.33203125" style="1" bestFit="1" customWidth="1"/>
    <col min="11533" max="11533" width="5.6640625" style="1" customWidth="1"/>
    <col min="11534" max="11534" width="9" style="1"/>
    <col min="11535" max="11535" width="5.33203125" style="1" customWidth="1"/>
    <col min="11536" max="11770" width="9" style="1"/>
    <col min="11771" max="11771" width="3.33203125" style="1" customWidth="1"/>
    <col min="11772" max="11772" width="9" style="1"/>
    <col min="11773" max="11773" width="5.6640625" style="1" customWidth="1"/>
    <col min="11774" max="11774" width="3.33203125" style="1" customWidth="1"/>
    <col min="11775" max="11775" width="5.33203125" style="1" customWidth="1"/>
    <col min="11776" max="11776" width="2.88671875" style="1" customWidth="1"/>
    <col min="11777" max="11777" width="4.109375" style="1" customWidth="1"/>
    <col min="11778" max="11779" width="3.33203125" style="1" customWidth="1"/>
    <col min="11780" max="11780" width="2.6640625" style="1" customWidth="1"/>
    <col min="11781" max="11781" width="4.109375" style="1" customWidth="1"/>
    <col min="11782" max="11782" width="3.33203125" style="1" customWidth="1"/>
    <col min="11783" max="11783" width="4.109375" style="1" customWidth="1"/>
    <col min="11784" max="11784" width="3.33203125" style="1" customWidth="1"/>
    <col min="11785" max="11785" width="2" style="1" customWidth="1"/>
    <col min="11786" max="11786" width="9" style="1"/>
    <col min="11787" max="11787" width="7.6640625" style="1" customWidth="1"/>
    <col min="11788" max="11788" width="3.33203125" style="1" bestFit="1" customWidth="1"/>
    <col min="11789" max="11789" width="5.6640625" style="1" customWidth="1"/>
    <col min="11790" max="11790" width="9" style="1"/>
    <col min="11791" max="11791" width="5.33203125" style="1" customWidth="1"/>
    <col min="11792" max="12026" width="9" style="1"/>
    <col min="12027" max="12027" width="3.33203125" style="1" customWidth="1"/>
    <col min="12028" max="12028" width="9" style="1"/>
    <col min="12029" max="12029" width="5.6640625" style="1" customWidth="1"/>
    <col min="12030" max="12030" width="3.33203125" style="1" customWidth="1"/>
    <col min="12031" max="12031" width="5.33203125" style="1" customWidth="1"/>
    <col min="12032" max="12032" width="2.88671875" style="1" customWidth="1"/>
    <col min="12033" max="12033" width="4.109375" style="1" customWidth="1"/>
    <col min="12034" max="12035" width="3.33203125" style="1" customWidth="1"/>
    <col min="12036" max="12036" width="2.6640625" style="1" customWidth="1"/>
    <col min="12037" max="12037" width="4.109375" style="1" customWidth="1"/>
    <col min="12038" max="12038" width="3.33203125" style="1" customWidth="1"/>
    <col min="12039" max="12039" width="4.109375" style="1" customWidth="1"/>
    <col min="12040" max="12040" width="3.33203125" style="1" customWidth="1"/>
    <col min="12041" max="12041" width="2" style="1" customWidth="1"/>
    <col min="12042" max="12042" width="9" style="1"/>
    <col min="12043" max="12043" width="7.6640625" style="1" customWidth="1"/>
    <col min="12044" max="12044" width="3.33203125" style="1" bestFit="1" customWidth="1"/>
    <col min="12045" max="12045" width="5.6640625" style="1" customWidth="1"/>
    <col min="12046" max="12046" width="9" style="1"/>
    <col min="12047" max="12047" width="5.33203125" style="1" customWidth="1"/>
    <col min="12048" max="12282" width="9" style="1"/>
    <col min="12283" max="12283" width="3.33203125" style="1" customWidth="1"/>
    <col min="12284" max="12284" width="9" style="1"/>
    <col min="12285" max="12285" width="5.6640625" style="1" customWidth="1"/>
    <col min="12286" max="12286" width="3.33203125" style="1" customWidth="1"/>
    <col min="12287" max="12287" width="5.33203125" style="1" customWidth="1"/>
    <col min="12288" max="12288" width="2.88671875" style="1" customWidth="1"/>
    <col min="12289" max="12289" width="4.109375" style="1" customWidth="1"/>
    <col min="12290" max="12291" width="3.33203125" style="1" customWidth="1"/>
    <col min="12292" max="12292" width="2.6640625" style="1" customWidth="1"/>
    <col min="12293" max="12293" width="4.109375" style="1" customWidth="1"/>
    <col min="12294" max="12294" width="3.33203125" style="1" customWidth="1"/>
    <col min="12295" max="12295" width="4.109375" style="1" customWidth="1"/>
    <col min="12296" max="12296" width="3.33203125" style="1" customWidth="1"/>
    <col min="12297" max="12297" width="2" style="1" customWidth="1"/>
    <col min="12298" max="12298" width="9" style="1"/>
    <col min="12299" max="12299" width="7.6640625" style="1" customWidth="1"/>
    <col min="12300" max="12300" width="3.33203125" style="1" bestFit="1" customWidth="1"/>
    <col min="12301" max="12301" width="5.6640625" style="1" customWidth="1"/>
    <col min="12302" max="12302" width="9" style="1"/>
    <col min="12303" max="12303" width="5.33203125" style="1" customWidth="1"/>
    <col min="12304" max="12538" width="9" style="1"/>
    <col min="12539" max="12539" width="3.33203125" style="1" customWidth="1"/>
    <col min="12540" max="12540" width="9" style="1"/>
    <col min="12541" max="12541" width="5.6640625" style="1" customWidth="1"/>
    <col min="12542" max="12542" width="3.33203125" style="1" customWidth="1"/>
    <col min="12543" max="12543" width="5.33203125" style="1" customWidth="1"/>
    <col min="12544" max="12544" width="2.88671875" style="1" customWidth="1"/>
    <col min="12545" max="12545" width="4.109375" style="1" customWidth="1"/>
    <col min="12546" max="12547" width="3.33203125" style="1" customWidth="1"/>
    <col min="12548" max="12548" width="2.6640625" style="1" customWidth="1"/>
    <col min="12549" max="12549" width="4.109375" style="1" customWidth="1"/>
    <col min="12550" max="12550" width="3.33203125" style="1" customWidth="1"/>
    <col min="12551" max="12551" width="4.109375" style="1" customWidth="1"/>
    <col min="12552" max="12552" width="3.33203125" style="1" customWidth="1"/>
    <col min="12553" max="12553" width="2" style="1" customWidth="1"/>
    <col min="12554" max="12554" width="9" style="1"/>
    <col min="12555" max="12555" width="7.6640625" style="1" customWidth="1"/>
    <col min="12556" max="12556" width="3.33203125" style="1" bestFit="1" customWidth="1"/>
    <col min="12557" max="12557" width="5.6640625" style="1" customWidth="1"/>
    <col min="12558" max="12558" width="9" style="1"/>
    <col min="12559" max="12559" width="5.33203125" style="1" customWidth="1"/>
    <col min="12560" max="12794" width="9" style="1"/>
    <col min="12795" max="12795" width="3.33203125" style="1" customWidth="1"/>
    <col min="12796" max="12796" width="9" style="1"/>
    <col min="12797" max="12797" width="5.6640625" style="1" customWidth="1"/>
    <col min="12798" max="12798" width="3.33203125" style="1" customWidth="1"/>
    <col min="12799" max="12799" width="5.33203125" style="1" customWidth="1"/>
    <col min="12800" max="12800" width="2.88671875" style="1" customWidth="1"/>
    <col min="12801" max="12801" width="4.109375" style="1" customWidth="1"/>
    <col min="12802" max="12803" width="3.33203125" style="1" customWidth="1"/>
    <col min="12804" max="12804" width="2.6640625" style="1" customWidth="1"/>
    <col min="12805" max="12805" width="4.109375" style="1" customWidth="1"/>
    <col min="12806" max="12806" width="3.33203125" style="1" customWidth="1"/>
    <col min="12807" max="12807" width="4.109375" style="1" customWidth="1"/>
    <col min="12808" max="12808" width="3.33203125" style="1" customWidth="1"/>
    <col min="12809" max="12809" width="2" style="1" customWidth="1"/>
    <col min="12810" max="12810" width="9" style="1"/>
    <col min="12811" max="12811" width="7.6640625" style="1" customWidth="1"/>
    <col min="12812" max="12812" width="3.33203125" style="1" bestFit="1" customWidth="1"/>
    <col min="12813" max="12813" width="5.6640625" style="1" customWidth="1"/>
    <col min="12814" max="12814" width="9" style="1"/>
    <col min="12815" max="12815" width="5.33203125" style="1" customWidth="1"/>
    <col min="12816" max="13050" width="9" style="1"/>
    <col min="13051" max="13051" width="3.33203125" style="1" customWidth="1"/>
    <col min="13052" max="13052" width="9" style="1"/>
    <col min="13053" max="13053" width="5.6640625" style="1" customWidth="1"/>
    <col min="13054" max="13054" width="3.33203125" style="1" customWidth="1"/>
    <col min="13055" max="13055" width="5.33203125" style="1" customWidth="1"/>
    <col min="13056" max="13056" width="2.88671875" style="1" customWidth="1"/>
    <col min="13057" max="13057" width="4.109375" style="1" customWidth="1"/>
    <col min="13058" max="13059" width="3.33203125" style="1" customWidth="1"/>
    <col min="13060" max="13060" width="2.6640625" style="1" customWidth="1"/>
    <col min="13061" max="13061" width="4.109375" style="1" customWidth="1"/>
    <col min="13062" max="13062" width="3.33203125" style="1" customWidth="1"/>
    <col min="13063" max="13063" width="4.109375" style="1" customWidth="1"/>
    <col min="13064" max="13064" width="3.33203125" style="1" customWidth="1"/>
    <col min="13065" max="13065" width="2" style="1" customWidth="1"/>
    <col min="13066" max="13066" width="9" style="1"/>
    <col min="13067" max="13067" width="7.6640625" style="1" customWidth="1"/>
    <col min="13068" max="13068" width="3.33203125" style="1" bestFit="1" customWidth="1"/>
    <col min="13069" max="13069" width="5.6640625" style="1" customWidth="1"/>
    <col min="13070" max="13070" width="9" style="1"/>
    <col min="13071" max="13071" width="5.33203125" style="1" customWidth="1"/>
    <col min="13072" max="13306" width="9" style="1"/>
    <col min="13307" max="13307" width="3.33203125" style="1" customWidth="1"/>
    <col min="13308" max="13308" width="9" style="1"/>
    <col min="13309" max="13309" width="5.6640625" style="1" customWidth="1"/>
    <col min="13310" max="13310" width="3.33203125" style="1" customWidth="1"/>
    <col min="13311" max="13311" width="5.33203125" style="1" customWidth="1"/>
    <col min="13312" max="13312" width="2.88671875" style="1" customWidth="1"/>
    <col min="13313" max="13313" width="4.109375" style="1" customWidth="1"/>
    <col min="13314" max="13315" width="3.33203125" style="1" customWidth="1"/>
    <col min="13316" max="13316" width="2.6640625" style="1" customWidth="1"/>
    <col min="13317" max="13317" width="4.109375" style="1" customWidth="1"/>
    <col min="13318" max="13318" width="3.33203125" style="1" customWidth="1"/>
    <col min="13319" max="13319" width="4.109375" style="1" customWidth="1"/>
    <col min="13320" max="13320" width="3.33203125" style="1" customWidth="1"/>
    <col min="13321" max="13321" width="2" style="1" customWidth="1"/>
    <col min="13322" max="13322" width="9" style="1"/>
    <col min="13323" max="13323" width="7.6640625" style="1" customWidth="1"/>
    <col min="13324" max="13324" width="3.33203125" style="1" bestFit="1" customWidth="1"/>
    <col min="13325" max="13325" width="5.6640625" style="1" customWidth="1"/>
    <col min="13326" max="13326" width="9" style="1"/>
    <col min="13327" max="13327" width="5.33203125" style="1" customWidth="1"/>
    <col min="13328" max="13562" width="9" style="1"/>
    <col min="13563" max="13563" width="3.33203125" style="1" customWidth="1"/>
    <col min="13564" max="13564" width="9" style="1"/>
    <col min="13565" max="13565" width="5.6640625" style="1" customWidth="1"/>
    <col min="13566" max="13566" width="3.33203125" style="1" customWidth="1"/>
    <col min="13567" max="13567" width="5.33203125" style="1" customWidth="1"/>
    <col min="13568" max="13568" width="2.88671875" style="1" customWidth="1"/>
    <col min="13569" max="13569" width="4.109375" style="1" customWidth="1"/>
    <col min="13570" max="13571" width="3.33203125" style="1" customWidth="1"/>
    <col min="13572" max="13572" width="2.6640625" style="1" customWidth="1"/>
    <col min="13573" max="13573" width="4.109375" style="1" customWidth="1"/>
    <col min="13574" max="13574" width="3.33203125" style="1" customWidth="1"/>
    <col min="13575" max="13575" width="4.109375" style="1" customWidth="1"/>
    <col min="13576" max="13576" width="3.33203125" style="1" customWidth="1"/>
    <col min="13577" max="13577" width="2" style="1" customWidth="1"/>
    <col min="13578" max="13578" width="9" style="1"/>
    <col min="13579" max="13579" width="7.6640625" style="1" customWidth="1"/>
    <col min="13580" max="13580" width="3.33203125" style="1" bestFit="1" customWidth="1"/>
    <col min="13581" max="13581" width="5.6640625" style="1" customWidth="1"/>
    <col min="13582" max="13582" width="9" style="1"/>
    <col min="13583" max="13583" width="5.33203125" style="1" customWidth="1"/>
    <col min="13584" max="13818" width="9" style="1"/>
    <col min="13819" max="13819" width="3.33203125" style="1" customWidth="1"/>
    <col min="13820" max="13820" width="9" style="1"/>
    <col min="13821" max="13821" width="5.6640625" style="1" customWidth="1"/>
    <col min="13822" max="13822" width="3.33203125" style="1" customWidth="1"/>
    <col min="13823" max="13823" width="5.33203125" style="1" customWidth="1"/>
    <col min="13824" max="13824" width="2.88671875" style="1" customWidth="1"/>
    <col min="13825" max="13825" width="4.109375" style="1" customWidth="1"/>
    <col min="13826" max="13827" width="3.33203125" style="1" customWidth="1"/>
    <col min="13828" max="13828" width="2.6640625" style="1" customWidth="1"/>
    <col min="13829" max="13829" width="4.109375" style="1" customWidth="1"/>
    <col min="13830" max="13830" width="3.33203125" style="1" customWidth="1"/>
    <col min="13831" max="13831" width="4.109375" style="1" customWidth="1"/>
    <col min="13832" max="13832" width="3.33203125" style="1" customWidth="1"/>
    <col min="13833" max="13833" width="2" style="1" customWidth="1"/>
    <col min="13834" max="13834" width="9" style="1"/>
    <col min="13835" max="13835" width="7.6640625" style="1" customWidth="1"/>
    <col min="13836" max="13836" width="3.33203125" style="1" bestFit="1" customWidth="1"/>
    <col min="13837" max="13837" width="5.6640625" style="1" customWidth="1"/>
    <col min="13838" max="13838" width="9" style="1"/>
    <col min="13839" max="13839" width="5.33203125" style="1" customWidth="1"/>
    <col min="13840" max="14074" width="9" style="1"/>
    <col min="14075" max="14075" width="3.33203125" style="1" customWidth="1"/>
    <col min="14076" max="14076" width="9" style="1"/>
    <col min="14077" max="14077" width="5.6640625" style="1" customWidth="1"/>
    <col min="14078" max="14078" width="3.33203125" style="1" customWidth="1"/>
    <col min="14079" max="14079" width="5.33203125" style="1" customWidth="1"/>
    <col min="14080" max="14080" width="2.88671875" style="1" customWidth="1"/>
    <col min="14081" max="14081" width="4.109375" style="1" customWidth="1"/>
    <col min="14082" max="14083" width="3.33203125" style="1" customWidth="1"/>
    <col min="14084" max="14084" width="2.6640625" style="1" customWidth="1"/>
    <col min="14085" max="14085" width="4.109375" style="1" customWidth="1"/>
    <col min="14086" max="14086" width="3.33203125" style="1" customWidth="1"/>
    <col min="14087" max="14087" width="4.109375" style="1" customWidth="1"/>
    <col min="14088" max="14088" width="3.33203125" style="1" customWidth="1"/>
    <col min="14089" max="14089" width="2" style="1" customWidth="1"/>
    <col min="14090" max="14090" width="9" style="1"/>
    <col min="14091" max="14091" width="7.6640625" style="1" customWidth="1"/>
    <col min="14092" max="14092" width="3.33203125" style="1" bestFit="1" customWidth="1"/>
    <col min="14093" max="14093" width="5.6640625" style="1" customWidth="1"/>
    <col min="14094" max="14094" width="9" style="1"/>
    <col min="14095" max="14095" width="5.33203125" style="1" customWidth="1"/>
    <col min="14096" max="14330" width="9" style="1"/>
    <col min="14331" max="14331" width="3.33203125" style="1" customWidth="1"/>
    <col min="14332" max="14332" width="9" style="1"/>
    <col min="14333" max="14333" width="5.6640625" style="1" customWidth="1"/>
    <col min="14334" max="14334" width="3.33203125" style="1" customWidth="1"/>
    <col min="14335" max="14335" width="5.33203125" style="1" customWidth="1"/>
    <col min="14336" max="14336" width="2.88671875" style="1" customWidth="1"/>
    <col min="14337" max="14337" width="4.109375" style="1" customWidth="1"/>
    <col min="14338" max="14339" width="3.33203125" style="1" customWidth="1"/>
    <col min="14340" max="14340" width="2.6640625" style="1" customWidth="1"/>
    <col min="14341" max="14341" width="4.109375" style="1" customWidth="1"/>
    <col min="14342" max="14342" width="3.33203125" style="1" customWidth="1"/>
    <col min="14343" max="14343" width="4.109375" style="1" customWidth="1"/>
    <col min="14344" max="14344" width="3.33203125" style="1" customWidth="1"/>
    <col min="14345" max="14345" width="2" style="1" customWidth="1"/>
    <col min="14346" max="14346" width="9" style="1"/>
    <col min="14347" max="14347" width="7.6640625" style="1" customWidth="1"/>
    <col min="14348" max="14348" width="3.33203125" style="1" bestFit="1" customWidth="1"/>
    <col min="14349" max="14349" width="5.6640625" style="1" customWidth="1"/>
    <col min="14350" max="14350" width="9" style="1"/>
    <col min="14351" max="14351" width="5.33203125" style="1" customWidth="1"/>
    <col min="14352" max="14586" width="9" style="1"/>
    <col min="14587" max="14587" width="3.33203125" style="1" customWidth="1"/>
    <col min="14588" max="14588" width="9" style="1"/>
    <col min="14589" max="14589" width="5.6640625" style="1" customWidth="1"/>
    <col min="14590" max="14590" width="3.33203125" style="1" customWidth="1"/>
    <col min="14591" max="14591" width="5.33203125" style="1" customWidth="1"/>
    <col min="14592" max="14592" width="2.88671875" style="1" customWidth="1"/>
    <col min="14593" max="14593" width="4.109375" style="1" customWidth="1"/>
    <col min="14594" max="14595" width="3.33203125" style="1" customWidth="1"/>
    <col min="14596" max="14596" width="2.6640625" style="1" customWidth="1"/>
    <col min="14597" max="14597" width="4.109375" style="1" customWidth="1"/>
    <col min="14598" max="14598" width="3.33203125" style="1" customWidth="1"/>
    <col min="14599" max="14599" width="4.109375" style="1" customWidth="1"/>
    <col min="14600" max="14600" width="3.33203125" style="1" customWidth="1"/>
    <col min="14601" max="14601" width="2" style="1" customWidth="1"/>
    <col min="14602" max="14602" width="9" style="1"/>
    <col min="14603" max="14603" width="7.6640625" style="1" customWidth="1"/>
    <col min="14604" max="14604" width="3.33203125" style="1" bestFit="1" customWidth="1"/>
    <col min="14605" max="14605" width="5.6640625" style="1" customWidth="1"/>
    <col min="14606" max="14606" width="9" style="1"/>
    <col min="14607" max="14607" width="5.33203125" style="1" customWidth="1"/>
    <col min="14608" max="14842" width="9" style="1"/>
    <col min="14843" max="14843" width="3.33203125" style="1" customWidth="1"/>
    <col min="14844" max="14844" width="9" style="1"/>
    <col min="14845" max="14845" width="5.6640625" style="1" customWidth="1"/>
    <col min="14846" max="14846" width="3.33203125" style="1" customWidth="1"/>
    <col min="14847" max="14847" width="5.33203125" style="1" customWidth="1"/>
    <col min="14848" max="14848" width="2.88671875" style="1" customWidth="1"/>
    <col min="14849" max="14849" width="4.109375" style="1" customWidth="1"/>
    <col min="14850" max="14851" width="3.33203125" style="1" customWidth="1"/>
    <col min="14852" max="14852" width="2.6640625" style="1" customWidth="1"/>
    <col min="14853" max="14853" width="4.109375" style="1" customWidth="1"/>
    <col min="14854" max="14854" width="3.33203125" style="1" customWidth="1"/>
    <col min="14855" max="14855" width="4.109375" style="1" customWidth="1"/>
    <col min="14856" max="14856" width="3.33203125" style="1" customWidth="1"/>
    <col min="14857" max="14857" width="2" style="1" customWidth="1"/>
    <col min="14858" max="14858" width="9" style="1"/>
    <col min="14859" max="14859" width="7.6640625" style="1" customWidth="1"/>
    <col min="14860" max="14860" width="3.33203125" style="1" bestFit="1" customWidth="1"/>
    <col min="14861" max="14861" width="5.6640625" style="1" customWidth="1"/>
    <col min="14862" max="14862" width="9" style="1"/>
    <col min="14863" max="14863" width="5.33203125" style="1" customWidth="1"/>
    <col min="14864" max="15098" width="9" style="1"/>
    <col min="15099" max="15099" width="3.33203125" style="1" customWidth="1"/>
    <col min="15100" max="15100" width="9" style="1"/>
    <col min="15101" max="15101" width="5.6640625" style="1" customWidth="1"/>
    <col min="15102" max="15102" width="3.33203125" style="1" customWidth="1"/>
    <col min="15103" max="15103" width="5.33203125" style="1" customWidth="1"/>
    <col min="15104" max="15104" width="2.88671875" style="1" customWidth="1"/>
    <col min="15105" max="15105" width="4.109375" style="1" customWidth="1"/>
    <col min="15106" max="15107" width="3.33203125" style="1" customWidth="1"/>
    <col min="15108" max="15108" width="2.6640625" style="1" customWidth="1"/>
    <col min="15109" max="15109" width="4.109375" style="1" customWidth="1"/>
    <col min="15110" max="15110" width="3.33203125" style="1" customWidth="1"/>
    <col min="15111" max="15111" width="4.109375" style="1" customWidth="1"/>
    <col min="15112" max="15112" width="3.33203125" style="1" customWidth="1"/>
    <col min="15113" max="15113" width="2" style="1" customWidth="1"/>
    <col min="15114" max="15114" width="9" style="1"/>
    <col min="15115" max="15115" width="7.6640625" style="1" customWidth="1"/>
    <col min="15116" max="15116" width="3.33203125" style="1" bestFit="1" customWidth="1"/>
    <col min="15117" max="15117" width="5.6640625" style="1" customWidth="1"/>
    <col min="15118" max="15118" width="9" style="1"/>
    <col min="15119" max="15119" width="5.33203125" style="1" customWidth="1"/>
    <col min="15120" max="15354" width="9" style="1"/>
    <col min="15355" max="15355" width="3.33203125" style="1" customWidth="1"/>
    <col min="15356" max="15356" width="9" style="1"/>
    <col min="15357" max="15357" width="5.6640625" style="1" customWidth="1"/>
    <col min="15358" max="15358" width="3.33203125" style="1" customWidth="1"/>
    <col min="15359" max="15359" width="5.33203125" style="1" customWidth="1"/>
    <col min="15360" max="15360" width="2.88671875" style="1" customWidth="1"/>
    <col min="15361" max="15361" width="4.109375" style="1" customWidth="1"/>
    <col min="15362" max="15363" width="3.33203125" style="1" customWidth="1"/>
    <col min="15364" max="15364" width="2.6640625" style="1" customWidth="1"/>
    <col min="15365" max="15365" width="4.109375" style="1" customWidth="1"/>
    <col min="15366" max="15366" width="3.33203125" style="1" customWidth="1"/>
    <col min="15367" max="15367" width="4.109375" style="1" customWidth="1"/>
    <col min="15368" max="15368" width="3.33203125" style="1" customWidth="1"/>
    <col min="15369" max="15369" width="2" style="1" customWidth="1"/>
    <col min="15370" max="15370" width="9" style="1"/>
    <col min="15371" max="15371" width="7.6640625" style="1" customWidth="1"/>
    <col min="15372" max="15372" width="3.33203125" style="1" bestFit="1" customWidth="1"/>
    <col min="15373" max="15373" width="5.6640625" style="1" customWidth="1"/>
    <col min="15374" max="15374" width="9" style="1"/>
    <col min="15375" max="15375" width="5.33203125" style="1" customWidth="1"/>
    <col min="15376" max="15610" width="9" style="1"/>
    <col min="15611" max="15611" width="3.33203125" style="1" customWidth="1"/>
    <col min="15612" max="15612" width="9" style="1"/>
    <col min="15613" max="15613" width="5.6640625" style="1" customWidth="1"/>
    <col min="15614" max="15614" width="3.33203125" style="1" customWidth="1"/>
    <col min="15615" max="15615" width="5.33203125" style="1" customWidth="1"/>
    <col min="15616" max="15616" width="2.88671875" style="1" customWidth="1"/>
    <col min="15617" max="15617" width="4.109375" style="1" customWidth="1"/>
    <col min="15618" max="15619" width="3.33203125" style="1" customWidth="1"/>
    <col min="15620" max="15620" width="2.6640625" style="1" customWidth="1"/>
    <col min="15621" max="15621" width="4.109375" style="1" customWidth="1"/>
    <col min="15622" max="15622" width="3.33203125" style="1" customWidth="1"/>
    <col min="15623" max="15623" width="4.109375" style="1" customWidth="1"/>
    <col min="15624" max="15624" width="3.33203125" style="1" customWidth="1"/>
    <col min="15625" max="15625" width="2" style="1" customWidth="1"/>
    <col min="15626" max="15626" width="9" style="1"/>
    <col min="15627" max="15627" width="7.6640625" style="1" customWidth="1"/>
    <col min="15628" max="15628" width="3.33203125" style="1" bestFit="1" customWidth="1"/>
    <col min="15629" max="15629" width="5.6640625" style="1" customWidth="1"/>
    <col min="15630" max="15630" width="9" style="1"/>
    <col min="15631" max="15631" width="5.33203125" style="1" customWidth="1"/>
    <col min="15632" max="15866" width="9" style="1"/>
    <col min="15867" max="15867" width="3.33203125" style="1" customWidth="1"/>
    <col min="15868" max="15868" width="9" style="1"/>
    <col min="15869" max="15869" width="5.6640625" style="1" customWidth="1"/>
    <col min="15870" max="15870" width="3.33203125" style="1" customWidth="1"/>
    <col min="15871" max="15871" width="5.33203125" style="1" customWidth="1"/>
    <col min="15872" max="15872" width="2.88671875" style="1" customWidth="1"/>
    <col min="15873" max="15873" width="4.109375" style="1" customWidth="1"/>
    <col min="15874" max="15875" width="3.33203125" style="1" customWidth="1"/>
    <col min="15876" max="15876" width="2.6640625" style="1" customWidth="1"/>
    <col min="15877" max="15877" width="4.109375" style="1" customWidth="1"/>
    <col min="15878" max="15878" width="3.33203125" style="1" customWidth="1"/>
    <col min="15879" max="15879" width="4.109375" style="1" customWidth="1"/>
    <col min="15880" max="15880" width="3.33203125" style="1" customWidth="1"/>
    <col min="15881" max="15881" width="2" style="1" customWidth="1"/>
    <col min="15882" max="15882" width="9" style="1"/>
    <col min="15883" max="15883" width="7.6640625" style="1" customWidth="1"/>
    <col min="15884" max="15884" width="3.33203125" style="1" bestFit="1" customWidth="1"/>
    <col min="15885" max="15885" width="5.6640625" style="1" customWidth="1"/>
    <col min="15886" max="15886" width="9" style="1"/>
    <col min="15887" max="15887" width="5.33203125" style="1" customWidth="1"/>
    <col min="15888" max="16122" width="9" style="1"/>
    <col min="16123" max="16123" width="3.33203125" style="1" customWidth="1"/>
    <col min="16124" max="16124" width="9" style="1"/>
    <col min="16125" max="16125" width="5.6640625" style="1" customWidth="1"/>
    <col min="16126" max="16126" width="3.33203125" style="1" customWidth="1"/>
    <col min="16127" max="16127" width="5.33203125" style="1" customWidth="1"/>
    <col min="16128" max="16128" width="2.88671875" style="1" customWidth="1"/>
    <col min="16129" max="16129" width="4.109375" style="1" customWidth="1"/>
    <col min="16130" max="16131" width="3.33203125" style="1" customWidth="1"/>
    <col min="16132" max="16132" width="2.6640625" style="1" customWidth="1"/>
    <col min="16133" max="16133" width="4.109375" style="1" customWidth="1"/>
    <col min="16134" max="16134" width="3.33203125" style="1" customWidth="1"/>
    <col min="16135" max="16135" width="4.109375" style="1" customWidth="1"/>
    <col min="16136" max="16136" width="3.33203125" style="1" customWidth="1"/>
    <col min="16137" max="16137" width="2" style="1" customWidth="1"/>
    <col min="16138" max="16138" width="9" style="1"/>
    <col min="16139" max="16139" width="7.6640625" style="1" customWidth="1"/>
    <col min="16140" max="16140" width="3.33203125" style="1" bestFit="1" customWidth="1"/>
    <col min="16141" max="16141" width="5.6640625" style="1" customWidth="1"/>
    <col min="16142" max="16142" width="9" style="1"/>
    <col min="16143" max="16143" width="5.33203125" style="1" customWidth="1"/>
    <col min="16144" max="16384" width="9" style="1"/>
  </cols>
  <sheetData>
    <row r="1" spans="1:29" ht="13.5" customHeight="1" x14ac:dyDescent="0.2"/>
    <row r="2" spans="1:29" ht="13.5" customHeight="1" x14ac:dyDescent="0.2">
      <c r="B2" s="266" t="s">
        <v>0</v>
      </c>
      <c r="C2" s="266"/>
      <c r="D2" s="266"/>
      <c r="E2" s="266"/>
      <c r="F2" s="266"/>
      <c r="G2" s="266"/>
      <c r="H2" s="266"/>
      <c r="I2" s="266"/>
      <c r="J2" s="266"/>
      <c r="K2" s="266"/>
      <c r="L2" s="266"/>
      <c r="M2" s="266"/>
      <c r="N2" s="266"/>
      <c r="O2" s="266"/>
      <c r="P2" s="266"/>
      <c r="Q2" s="266"/>
      <c r="R2" s="266"/>
      <c r="S2" s="2"/>
    </row>
    <row r="3" spans="1:29" ht="13.5" customHeight="1" x14ac:dyDescent="0.2">
      <c r="B3" s="2"/>
      <c r="C3" s="285" t="s">
        <v>220</v>
      </c>
      <c r="D3" s="285"/>
      <c r="E3" s="285"/>
      <c r="F3" s="285"/>
      <c r="G3" s="285"/>
      <c r="H3" s="285"/>
      <c r="I3" s="285"/>
      <c r="J3" s="285"/>
      <c r="K3" s="285"/>
      <c r="L3" s="285"/>
      <c r="M3" s="285"/>
      <c r="N3" s="285"/>
      <c r="O3" s="285"/>
      <c r="P3" s="285"/>
      <c r="Q3" s="285"/>
      <c r="R3" s="285"/>
      <c r="S3" s="285"/>
    </row>
    <row r="4" spans="1:29" ht="13.5" customHeight="1" x14ac:dyDescent="0.2">
      <c r="A4" s="25" t="s">
        <v>1</v>
      </c>
      <c r="C4" s="285" t="s">
        <v>355</v>
      </c>
      <c r="D4" s="285"/>
      <c r="E4" s="285"/>
      <c r="F4" s="285"/>
      <c r="G4" s="285"/>
      <c r="H4" s="285"/>
      <c r="I4" s="285"/>
      <c r="J4" s="285"/>
      <c r="K4" s="285"/>
      <c r="L4" s="285"/>
      <c r="M4" s="285"/>
      <c r="N4" s="285"/>
      <c r="O4" s="285"/>
      <c r="P4" s="285"/>
      <c r="Q4" s="285"/>
      <c r="R4" s="285"/>
      <c r="S4" s="285"/>
      <c r="AB4" s="1" t="s">
        <v>217</v>
      </c>
    </row>
    <row r="5" spans="1:29" x14ac:dyDescent="0.2">
      <c r="D5" s="1" t="s">
        <v>171</v>
      </c>
      <c r="H5" s="65" t="str">
        <f>HYPERLINK("#手引き!$B$46","手引きへ戻る")</f>
        <v>手引きへ戻る</v>
      </c>
      <c r="AB5" s="1" t="s">
        <v>219</v>
      </c>
      <c r="AC5" s="1" t="s">
        <v>218</v>
      </c>
    </row>
    <row r="6" spans="1:29" ht="16.5" customHeight="1" thickBot="1" x14ac:dyDescent="0.25">
      <c r="A6" s="25" t="s">
        <v>2</v>
      </c>
      <c r="AB6" s="54" t="str">
        <f>HLOOKUP($AB$5,名前2!$C:$J,2,0)</f>
        <v>特定大型車</v>
      </c>
      <c r="AC6" s="54" t="str">
        <f>HLOOKUP($AC$5,名前2!$C:$J,2,0)</f>
        <v>道路運送車両法施行規則第２条に定める普通自動車（以下</v>
      </c>
    </row>
    <row r="7" spans="1:29" ht="16.5" customHeight="1" x14ac:dyDescent="0.2">
      <c r="B7" s="269"/>
      <c r="C7" s="271" t="s">
        <v>3</v>
      </c>
      <c r="D7" s="271"/>
      <c r="E7" s="271"/>
      <c r="F7" s="271"/>
      <c r="G7" s="271"/>
      <c r="H7" s="272"/>
      <c r="I7" s="273" t="s">
        <v>4</v>
      </c>
      <c r="J7" s="274"/>
      <c r="K7" s="274"/>
      <c r="L7" s="274"/>
      <c r="M7" s="274"/>
      <c r="N7" s="275"/>
      <c r="O7" s="3"/>
      <c r="P7" s="269"/>
      <c r="Q7" s="273" t="s">
        <v>5</v>
      </c>
      <c r="R7" s="275"/>
      <c r="S7" s="4"/>
      <c r="U7" s="266"/>
      <c r="V7" s="267"/>
      <c r="W7" s="267"/>
      <c r="X7" s="266"/>
      <c r="Y7" s="267"/>
      <c r="Z7" s="267"/>
      <c r="AB7" s="54"/>
      <c r="AC7" s="54" t="str">
        <f>HLOOKUP($AC$5,名前2!$C:$J,3,0)</f>
        <v>「普通自動車」という。）又は小型自動車（以下「小型</v>
      </c>
    </row>
    <row r="8" spans="1:29" ht="30" customHeight="1" thickBot="1" x14ac:dyDescent="0.25">
      <c r="A8" s="144" t="str">
        <f>IF(COUNTIF(A9:A14,"○")=0,"無","")</f>
        <v>無</v>
      </c>
      <c r="B8" s="270"/>
      <c r="C8" s="279" t="s">
        <v>26</v>
      </c>
      <c r="D8" s="280"/>
      <c r="E8" s="281" t="s">
        <v>6</v>
      </c>
      <c r="F8" s="282"/>
      <c r="G8" s="282"/>
      <c r="H8" s="280"/>
      <c r="I8" s="276"/>
      <c r="J8" s="277"/>
      <c r="K8" s="277"/>
      <c r="L8" s="277"/>
      <c r="M8" s="277"/>
      <c r="N8" s="278"/>
      <c r="O8" s="42" t="str">
        <f>IF(COUNTIF(O9:O14,"○")=0,"無","")</f>
        <v>無</v>
      </c>
      <c r="P8" s="270"/>
      <c r="Q8" s="283">
        <v>30</v>
      </c>
      <c r="R8" s="284"/>
      <c r="U8" s="266"/>
      <c r="V8" s="268"/>
      <c r="W8" s="268"/>
      <c r="X8" s="266"/>
      <c r="Y8" s="268"/>
      <c r="Z8" s="268"/>
      <c r="AB8" s="54"/>
      <c r="AC8" s="54" t="str">
        <f>HLOOKUP($AC$5,名前2!$C:$J,4,0)</f>
        <v>自動車」という。）のうち乗車定員が９名以上のもの。</v>
      </c>
    </row>
    <row r="9" spans="1:29" ht="16.5" customHeight="1" thickTop="1" x14ac:dyDescent="0.2">
      <c r="A9" s="143"/>
      <c r="B9" s="6" t="s">
        <v>8</v>
      </c>
      <c r="C9" s="7">
        <v>650</v>
      </c>
      <c r="D9" s="8" t="s">
        <v>9</v>
      </c>
      <c r="E9" s="9">
        <v>181</v>
      </c>
      <c r="F9" s="10" t="s">
        <v>10</v>
      </c>
      <c r="G9" s="7">
        <v>100</v>
      </c>
      <c r="H9" s="8" t="s">
        <v>9</v>
      </c>
      <c r="I9" s="11">
        <f t="shared" ref="I9:I14" si="0">TRUNC(CEILING(ROUNDUP(E9*0.36,0),5)/60,0)</f>
        <v>1</v>
      </c>
      <c r="J9" s="12" t="s">
        <v>11</v>
      </c>
      <c r="K9" s="13">
        <f t="shared" ref="K9:K14" si="1">TRUNC(CEILING(ROUNDUP(E9*0.36,0),5)-I9*60,0)</f>
        <v>10</v>
      </c>
      <c r="L9" s="14" t="s">
        <v>12</v>
      </c>
      <c r="M9" s="7">
        <v>100</v>
      </c>
      <c r="N9" s="15" t="s">
        <v>9</v>
      </c>
      <c r="O9" s="99"/>
      <c r="P9" s="6" t="s">
        <v>8</v>
      </c>
      <c r="Q9" s="16">
        <v>4300</v>
      </c>
      <c r="R9" s="15" t="s">
        <v>9</v>
      </c>
      <c r="U9" s="2"/>
      <c r="V9" s="167"/>
      <c r="X9" s="2"/>
      <c r="Y9" s="167"/>
      <c r="AB9" s="54" t="str">
        <f>HLOOKUP($AB$5,名前2!$C:$J,5,0)</f>
        <v>大　型　車</v>
      </c>
      <c r="AC9" s="54" t="str">
        <f>HLOOKUP($AC$5,名前2!$C:$J,5,0)</f>
        <v>以下のいずれかに該当する自動車。</v>
      </c>
    </row>
    <row r="10" spans="1:29" ht="16.5" customHeight="1" x14ac:dyDescent="0.2">
      <c r="A10" s="143"/>
      <c r="B10" s="17" t="s">
        <v>13</v>
      </c>
      <c r="C10" s="18">
        <f>C9-10</f>
        <v>640</v>
      </c>
      <c r="D10" s="19" t="s">
        <v>9</v>
      </c>
      <c r="E10" s="20">
        <f>ROUND(E$9/(C10/C$9),0)</f>
        <v>184</v>
      </c>
      <c r="F10" s="18" t="s">
        <v>10</v>
      </c>
      <c r="G10" s="18">
        <v>100</v>
      </c>
      <c r="H10" s="19" t="s">
        <v>9</v>
      </c>
      <c r="I10" s="11">
        <f t="shared" si="0"/>
        <v>1</v>
      </c>
      <c r="J10" s="12" t="s">
        <v>11</v>
      </c>
      <c r="K10" s="13">
        <f t="shared" si="1"/>
        <v>10</v>
      </c>
      <c r="L10" s="14" t="s">
        <v>12</v>
      </c>
      <c r="M10" s="18">
        <v>100</v>
      </c>
      <c r="N10" s="21" t="s">
        <v>9</v>
      </c>
      <c r="O10" s="99"/>
      <c r="P10" s="17" t="s">
        <v>13</v>
      </c>
      <c r="Q10" s="20">
        <f>ROUNDUP((C10/C$9)*Q$9,-1)</f>
        <v>4240</v>
      </c>
      <c r="R10" s="21" t="s">
        <v>9</v>
      </c>
      <c r="U10" s="2"/>
      <c r="V10" s="168"/>
      <c r="X10" s="2"/>
      <c r="Y10" s="168"/>
      <c r="AB10" s="54"/>
      <c r="AC10" s="54" t="str">
        <f>HLOOKUP($AC$5,名前2!$C:$J,6,0)</f>
        <v>一　普通自動車のうち排気量が２リットルを超えるもので</v>
      </c>
    </row>
    <row r="11" spans="1:29" ht="16.5" customHeight="1" x14ac:dyDescent="0.2">
      <c r="A11" s="143"/>
      <c r="B11" s="17" t="s">
        <v>14</v>
      </c>
      <c r="C11" s="22">
        <f>C10-10</f>
        <v>630</v>
      </c>
      <c r="D11" s="23" t="s">
        <v>9</v>
      </c>
      <c r="E11" s="24">
        <f>ROUND(E$9/(C11/C$9),0)</f>
        <v>187</v>
      </c>
      <c r="F11" s="22" t="s">
        <v>10</v>
      </c>
      <c r="G11" s="18">
        <v>100</v>
      </c>
      <c r="H11" s="23" t="s">
        <v>9</v>
      </c>
      <c r="I11" s="25">
        <f t="shared" si="0"/>
        <v>1</v>
      </c>
      <c r="J11" s="1" t="s">
        <v>11</v>
      </c>
      <c r="K11" s="26">
        <f t="shared" si="1"/>
        <v>10</v>
      </c>
      <c r="L11" s="27" t="s">
        <v>12</v>
      </c>
      <c r="M11" s="18">
        <v>100</v>
      </c>
      <c r="N11" s="28" t="s">
        <v>9</v>
      </c>
      <c r="O11" s="99"/>
      <c r="P11" s="17" t="s">
        <v>15</v>
      </c>
      <c r="Q11" s="24">
        <f>ROUNDUP((C11/C$9)*Q$9,-1)</f>
        <v>4170</v>
      </c>
      <c r="R11" s="28" t="s">
        <v>9</v>
      </c>
      <c r="U11" s="2"/>
      <c r="V11" s="168"/>
      <c r="X11" s="2"/>
      <c r="Y11" s="168"/>
      <c r="AB11" s="54"/>
      <c r="AC11" s="54" t="str">
        <f>HLOOKUP($AC$5,名前2!$C:$J,7,0)</f>
        <v>あって乗車定員が７名以上のもの（特定大型車を除く。）。</v>
      </c>
    </row>
    <row r="12" spans="1:29" ht="16.5" customHeight="1" x14ac:dyDescent="0.2">
      <c r="A12" s="143"/>
      <c r="B12" s="17" t="s">
        <v>16</v>
      </c>
      <c r="C12" s="18">
        <f>C11-10</f>
        <v>620</v>
      </c>
      <c r="D12" s="19" t="s">
        <v>9</v>
      </c>
      <c r="E12" s="20">
        <f>E19</f>
        <v>200</v>
      </c>
      <c r="F12" s="18" t="s">
        <v>10</v>
      </c>
      <c r="G12" s="18">
        <v>100</v>
      </c>
      <c r="H12" s="19" t="s">
        <v>9</v>
      </c>
      <c r="I12" s="29">
        <f t="shared" si="0"/>
        <v>1</v>
      </c>
      <c r="J12" s="18" t="s">
        <v>11</v>
      </c>
      <c r="K12" s="30">
        <f t="shared" si="1"/>
        <v>15</v>
      </c>
      <c r="L12" s="31" t="s">
        <v>12</v>
      </c>
      <c r="M12" s="18">
        <v>100</v>
      </c>
      <c r="N12" s="21" t="s">
        <v>9</v>
      </c>
      <c r="O12" s="99"/>
      <c r="P12" s="17" t="s">
        <v>17</v>
      </c>
      <c r="Q12" s="20">
        <f>Q19</f>
        <v>3900</v>
      </c>
      <c r="R12" s="21" t="s">
        <v>9</v>
      </c>
      <c r="U12" s="2"/>
      <c r="V12" s="168"/>
      <c r="X12" s="2"/>
      <c r="Y12" s="168"/>
      <c r="AB12" s="54"/>
      <c r="AC12" s="54" t="str">
        <f>HLOOKUP($AC$5,名前2!$C:$J,8,0)</f>
        <v>二　普通自動車のうち排気量が２リットル（ハイブリッド</v>
      </c>
    </row>
    <row r="13" spans="1:29" ht="16.5" customHeight="1" x14ac:dyDescent="0.2">
      <c r="A13" s="143"/>
      <c r="B13" s="17" t="s">
        <v>18</v>
      </c>
      <c r="C13" s="18">
        <f>C12-10</f>
        <v>610</v>
      </c>
      <c r="D13" s="19" t="s">
        <v>9</v>
      </c>
      <c r="E13" s="20">
        <f>E20</f>
        <v>203</v>
      </c>
      <c r="F13" s="18" t="s">
        <v>10</v>
      </c>
      <c r="G13" s="18">
        <v>100</v>
      </c>
      <c r="H13" s="19" t="s">
        <v>9</v>
      </c>
      <c r="I13" s="29">
        <f t="shared" si="0"/>
        <v>1</v>
      </c>
      <c r="J13" s="18" t="s">
        <v>11</v>
      </c>
      <c r="K13" s="30">
        <f t="shared" si="1"/>
        <v>15</v>
      </c>
      <c r="L13" s="31" t="s">
        <v>12</v>
      </c>
      <c r="M13" s="18">
        <v>100</v>
      </c>
      <c r="N13" s="21" t="s">
        <v>9</v>
      </c>
      <c r="O13" s="99"/>
      <c r="P13" s="17" t="s">
        <v>18</v>
      </c>
      <c r="Q13" s="20">
        <f>Q20</f>
        <v>3840</v>
      </c>
      <c r="R13" s="21" t="s">
        <v>9</v>
      </c>
      <c r="U13" s="2"/>
      <c r="V13" s="168"/>
      <c r="X13" s="2"/>
      <c r="Y13" s="168"/>
      <c r="AB13" s="54"/>
      <c r="AC13" s="54" t="str">
        <f>HLOOKUP($AC$5,名前2!$C:$J,9,0)</f>
        <v>自動車にあっては２．５リットル。）を超えるもので</v>
      </c>
    </row>
    <row r="14" spans="1:29" ht="16.5" customHeight="1" thickBot="1" x14ac:dyDescent="0.25">
      <c r="A14" s="143"/>
      <c r="B14" s="32" t="s">
        <v>7</v>
      </c>
      <c r="C14" s="33">
        <f>C13-10</f>
        <v>600</v>
      </c>
      <c r="D14" s="34" t="s">
        <v>9</v>
      </c>
      <c r="E14" s="39">
        <f>E21</f>
        <v>231</v>
      </c>
      <c r="F14" s="35" t="s">
        <v>10</v>
      </c>
      <c r="G14" s="33">
        <v>100</v>
      </c>
      <c r="H14" s="34" t="s">
        <v>9</v>
      </c>
      <c r="I14" s="106">
        <f t="shared" si="0"/>
        <v>1</v>
      </c>
      <c r="J14" s="35" t="s">
        <v>11</v>
      </c>
      <c r="K14" s="107">
        <f t="shared" si="1"/>
        <v>25</v>
      </c>
      <c r="L14" s="36" t="s">
        <v>12</v>
      </c>
      <c r="M14" s="33">
        <v>100</v>
      </c>
      <c r="N14" s="37" t="s">
        <v>9</v>
      </c>
      <c r="O14" s="99"/>
      <c r="P14" s="32" t="s">
        <v>7</v>
      </c>
      <c r="Q14" s="39">
        <f>Q21</f>
        <v>3450</v>
      </c>
      <c r="R14" s="37" t="s">
        <v>9</v>
      </c>
      <c r="U14" s="2"/>
      <c r="V14" s="168"/>
      <c r="X14" s="2"/>
      <c r="Y14" s="168"/>
      <c r="AB14" s="54"/>
      <c r="AC14" s="54" t="str">
        <f>HLOOKUP($AC$5,名前2!$C:$J,10,0)</f>
        <v>あって乗車定員が６名以下のもの。</v>
      </c>
    </row>
    <row r="15" spans="1:29" ht="16.5" customHeight="1" x14ac:dyDescent="0.2">
      <c r="O15" s="41"/>
      <c r="AB15" s="54" t="str">
        <f>HLOOKUP($AB$5,名前2!$C:$J,11,0)</f>
        <v>普　通　車</v>
      </c>
      <c r="AC15" s="54" t="str">
        <f>HLOOKUP($AC$5,名前2!$C:$J,11,0)</f>
        <v>以下のいずれかに該当する自動車。</v>
      </c>
    </row>
    <row r="16" spans="1:29" ht="13.5" customHeight="1" thickBot="1" x14ac:dyDescent="0.25">
      <c r="A16" s="25" t="s">
        <v>19</v>
      </c>
      <c r="O16" s="41"/>
      <c r="S16" s="4"/>
      <c r="AB16" s="54"/>
      <c r="AC16" s="54" t="str">
        <f>HLOOKUP($AC$5,名前2!$C:$J,12,0)</f>
        <v>一　普通自動車又は小型自動車のうち特定大型車及び大型</v>
      </c>
    </row>
    <row r="17" spans="1:29" ht="16.5" customHeight="1" x14ac:dyDescent="0.2">
      <c r="A17" s="145" t="s">
        <v>89</v>
      </c>
      <c r="B17" s="269"/>
      <c r="C17" s="271" t="s">
        <v>3</v>
      </c>
      <c r="D17" s="271"/>
      <c r="E17" s="271"/>
      <c r="F17" s="271"/>
      <c r="G17" s="271"/>
      <c r="H17" s="272"/>
      <c r="I17" s="273" t="s">
        <v>4</v>
      </c>
      <c r="J17" s="274"/>
      <c r="K17" s="274"/>
      <c r="L17" s="274"/>
      <c r="M17" s="274"/>
      <c r="N17" s="275"/>
      <c r="O17" s="41" t="s">
        <v>89</v>
      </c>
      <c r="P17" s="269"/>
      <c r="Q17" s="273" t="s">
        <v>5</v>
      </c>
      <c r="R17" s="275"/>
      <c r="S17" s="5"/>
      <c r="U17" s="266"/>
      <c r="V17" s="267"/>
      <c r="W17" s="267"/>
      <c r="X17" s="266"/>
      <c r="Y17" s="267"/>
      <c r="Z17" s="267"/>
      <c r="AB17" s="54"/>
      <c r="AC17" s="54" t="str">
        <f>HLOOKUP($AC$5,名前2!$C:$J,13,0)</f>
        <v>車に該当する自動車以外のもの。</v>
      </c>
    </row>
    <row r="18" spans="1:29" ht="30" customHeight="1" thickBot="1" x14ac:dyDescent="0.25">
      <c r="A18" s="144" t="str">
        <f>IF(COUNTIF(A19:A23,"○")=0,"無","")</f>
        <v>無</v>
      </c>
      <c r="B18" s="270"/>
      <c r="C18" s="279" t="s">
        <v>26</v>
      </c>
      <c r="D18" s="280"/>
      <c r="E18" s="281" t="s">
        <v>6</v>
      </c>
      <c r="F18" s="282"/>
      <c r="G18" s="282"/>
      <c r="H18" s="280"/>
      <c r="I18" s="276"/>
      <c r="J18" s="277"/>
      <c r="K18" s="277"/>
      <c r="L18" s="277"/>
      <c r="M18" s="277"/>
      <c r="N18" s="278"/>
      <c r="O18" s="42" t="str">
        <f>IF(COUNTIF(O19:O23,"○")=0,"無","")</f>
        <v>無</v>
      </c>
      <c r="P18" s="270"/>
      <c r="Q18" s="283">
        <v>30</v>
      </c>
      <c r="R18" s="284"/>
      <c r="U18" s="266"/>
      <c r="V18" s="268"/>
      <c r="W18" s="268"/>
      <c r="X18" s="266"/>
      <c r="Y18" s="268"/>
      <c r="Z18" s="268"/>
      <c r="AB18" s="54"/>
      <c r="AC18" s="54" t="str">
        <f>HLOOKUP($AC$5,名前2!$C:$J,14,0)</f>
        <v>二　道路運送車両法施行規則第２条に定める軽自動車（</v>
      </c>
    </row>
    <row r="19" spans="1:29" ht="16.5" customHeight="1" thickTop="1" x14ac:dyDescent="0.2">
      <c r="A19" s="143"/>
      <c r="B19" s="6" t="s">
        <v>8</v>
      </c>
      <c r="C19" s="7">
        <v>620</v>
      </c>
      <c r="D19" s="8" t="s">
        <v>9</v>
      </c>
      <c r="E19" s="9">
        <v>200</v>
      </c>
      <c r="F19" s="10" t="s">
        <v>10</v>
      </c>
      <c r="G19" s="7">
        <v>100</v>
      </c>
      <c r="H19" s="8" t="s">
        <v>9</v>
      </c>
      <c r="I19" s="11">
        <f t="shared" ref="I19:I23" si="2">TRUNC(CEILING(ROUNDUP(E19*0.36,0),5)/60,0)</f>
        <v>1</v>
      </c>
      <c r="J19" s="12" t="s">
        <v>11</v>
      </c>
      <c r="K19" s="13">
        <f t="shared" ref="K19:K23" si="3">TRUNC(CEILING(ROUNDUP(E19*0.36,0),5)-I19*60,0)</f>
        <v>15</v>
      </c>
      <c r="L19" s="14" t="s">
        <v>12</v>
      </c>
      <c r="M19" s="7">
        <v>100</v>
      </c>
      <c r="N19" s="15" t="s">
        <v>9</v>
      </c>
      <c r="O19" s="99"/>
      <c r="P19" s="6" t="s">
        <v>8</v>
      </c>
      <c r="Q19" s="16">
        <v>3900</v>
      </c>
      <c r="R19" s="15" t="s">
        <v>9</v>
      </c>
      <c r="U19" s="2"/>
      <c r="V19" s="167"/>
      <c r="X19" s="2"/>
      <c r="Y19" s="167"/>
      <c r="AB19" s="54"/>
      <c r="AC19" s="54" t="str">
        <f>HLOOKUP($AC$5,名前2!$C:$J,15,0)</f>
        <v>以下「軽自動車」という。）のうち、内燃機関を搭載し</v>
      </c>
    </row>
    <row r="20" spans="1:29" ht="16.5" customHeight="1" x14ac:dyDescent="0.2">
      <c r="A20" s="143"/>
      <c r="B20" s="17" t="s">
        <v>13</v>
      </c>
      <c r="C20" s="18">
        <f>C19-10</f>
        <v>610</v>
      </c>
      <c r="D20" s="19" t="s">
        <v>9</v>
      </c>
      <c r="E20" s="20">
        <f>ROUND(E$19/(C20/C$19),0)</f>
        <v>203</v>
      </c>
      <c r="F20" s="18" t="s">
        <v>10</v>
      </c>
      <c r="G20" s="18">
        <v>100</v>
      </c>
      <c r="H20" s="19" t="s">
        <v>9</v>
      </c>
      <c r="I20" s="11">
        <f t="shared" si="2"/>
        <v>1</v>
      </c>
      <c r="J20" s="12" t="s">
        <v>11</v>
      </c>
      <c r="K20" s="13">
        <f t="shared" si="3"/>
        <v>15</v>
      </c>
      <c r="L20" s="14" t="s">
        <v>12</v>
      </c>
      <c r="M20" s="18">
        <v>100</v>
      </c>
      <c r="N20" s="21" t="s">
        <v>9</v>
      </c>
      <c r="O20" s="99"/>
      <c r="P20" s="17" t="s">
        <v>13</v>
      </c>
      <c r="Q20" s="20">
        <f>ROUNDUP((C20/C$19)*Q$19,-1)</f>
        <v>3840</v>
      </c>
      <c r="R20" s="21" t="s">
        <v>9</v>
      </c>
      <c r="U20" s="2"/>
      <c r="V20" s="168"/>
      <c r="X20" s="2"/>
      <c r="Y20" s="168"/>
      <c r="AB20" s="54"/>
      <c r="AC20" s="54" t="str">
        <f>HLOOKUP($AC$5,名前2!$C:$J,16,0)</f>
        <v>ないもの又は福祉輸送サービスの用に供するものに限る。</v>
      </c>
    </row>
    <row r="21" spans="1:29" ht="16.5" customHeight="1" x14ac:dyDescent="0.2">
      <c r="A21" s="143"/>
      <c r="B21" s="17" t="s">
        <v>20</v>
      </c>
      <c r="C21" s="22">
        <f>C20-10</f>
        <v>600</v>
      </c>
      <c r="D21" s="23" t="s">
        <v>9</v>
      </c>
      <c r="E21" s="24">
        <f>E28</f>
        <v>231</v>
      </c>
      <c r="F21" s="22" t="s">
        <v>10</v>
      </c>
      <c r="G21" s="18">
        <v>100</v>
      </c>
      <c r="H21" s="23" t="s">
        <v>9</v>
      </c>
      <c r="I21" s="25">
        <f t="shared" si="2"/>
        <v>1</v>
      </c>
      <c r="J21" s="1" t="s">
        <v>11</v>
      </c>
      <c r="K21" s="26">
        <f t="shared" si="3"/>
        <v>25</v>
      </c>
      <c r="L21" s="27" t="s">
        <v>12</v>
      </c>
      <c r="M21" s="18">
        <v>100</v>
      </c>
      <c r="N21" s="28" t="s">
        <v>9</v>
      </c>
      <c r="O21" s="99"/>
      <c r="P21" s="17" t="s">
        <v>20</v>
      </c>
      <c r="Q21" s="24">
        <f>Q28</f>
        <v>3450</v>
      </c>
      <c r="R21" s="21" t="s">
        <v>9</v>
      </c>
      <c r="U21" s="2"/>
      <c r="V21" s="168"/>
      <c r="X21" s="2"/>
      <c r="Y21" s="168"/>
      <c r="AB21" s="54"/>
      <c r="AC21" s="54" t="str">
        <f>HLOOKUP($AC$5,名前2!$C:$J,17,0)</f>
        <v>ただし、「タクシー事業における軽自動車の活用について」</v>
      </c>
    </row>
    <row r="22" spans="1:29" ht="16.5" customHeight="1" x14ac:dyDescent="0.2">
      <c r="A22" s="143"/>
      <c r="B22" s="17" t="s">
        <v>21</v>
      </c>
      <c r="C22" s="18">
        <f>C21-10</f>
        <v>590</v>
      </c>
      <c r="D22" s="19" t="s">
        <v>9</v>
      </c>
      <c r="E22" s="20">
        <f>E29</f>
        <v>235</v>
      </c>
      <c r="F22" s="18" t="s">
        <v>10</v>
      </c>
      <c r="G22" s="18">
        <v>100</v>
      </c>
      <c r="H22" s="19" t="s">
        <v>9</v>
      </c>
      <c r="I22" s="29">
        <f t="shared" si="2"/>
        <v>1</v>
      </c>
      <c r="J22" s="18" t="s">
        <v>11</v>
      </c>
      <c r="K22" s="30">
        <f t="shared" si="3"/>
        <v>25</v>
      </c>
      <c r="L22" s="31" t="s">
        <v>12</v>
      </c>
      <c r="M22" s="18">
        <v>100</v>
      </c>
      <c r="N22" s="21" t="s">
        <v>9</v>
      </c>
      <c r="O22" s="99"/>
      <c r="P22" s="17" t="s">
        <v>22</v>
      </c>
      <c r="Q22" s="20">
        <f>Q29</f>
        <v>3400</v>
      </c>
      <c r="R22" s="21" t="s">
        <v>9</v>
      </c>
      <c r="U22" s="2"/>
      <c r="V22" s="168"/>
      <c r="X22" s="2"/>
      <c r="Y22" s="168"/>
      <c r="AB22" s="54"/>
      <c r="AC22" s="54" t="str">
        <f>HLOOKUP($AC$5,名前2!$C:$J,18,0)</f>
        <v>（令和８年６月１日付け国自旅第３７号）別紙１．に基</v>
      </c>
    </row>
    <row r="23" spans="1:29" ht="16.5" customHeight="1" thickBot="1" x14ac:dyDescent="0.25">
      <c r="A23" s="143"/>
      <c r="B23" s="40" t="s">
        <v>7</v>
      </c>
      <c r="C23" s="33">
        <f>C22-10</f>
        <v>580</v>
      </c>
      <c r="D23" s="105" t="s">
        <v>9</v>
      </c>
      <c r="E23" s="39">
        <f>E30</f>
        <v>239</v>
      </c>
      <c r="F23" s="33" t="s">
        <v>10</v>
      </c>
      <c r="G23" s="33">
        <v>100</v>
      </c>
      <c r="H23" s="105" t="s">
        <v>9</v>
      </c>
      <c r="I23" s="106">
        <f t="shared" si="2"/>
        <v>1</v>
      </c>
      <c r="J23" s="33" t="s">
        <v>11</v>
      </c>
      <c r="K23" s="107">
        <f t="shared" si="3"/>
        <v>30</v>
      </c>
      <c r="L23" s="108" t="s">
        <v>12</v>
      </c>
      <c r="M23" s="33">
        <v>100</v>
      </c>
      <c r="N23" s="38" t="s">
        <v>9</v>
      </c>
      <c r="O23" s="99"/>
      <c r="P23" s="32" t="s">
        <v>7</v>
      </c>
      <c r="Q23" s="39">
        <f>Q30</f>
        <v>3340</v>
      </c>
      <c r="R23" s="37" t="s">
        <v>9</v>
      </c>
      <c r="U23" s="2"/>
      <c r="V23" s="168"/>
      <c r="X23" s="2"/>
      <c r="Y23" s="168"/>
      <c r="AB23" s="54"/>
      <c r="AC23" s="54" t="str">
        <f>HLOOKUP($AC$5,名前2!$C:$J,19,0)</f>
        <v>づき近畿運輸局長が公示する地域においては、軽自動車と</v>
      </c>
    </row>
    <row r="24" spans="1:29" ht="16.5" customHeight="1" x14ac:dyDescent="0.2">
      <c r="O24" s="41"/>
      <c r="S24" s="4"/>
      <c r="AB24" s="54"/>
      <c r="AC24" s="54" t="str">
        <f>HLOOKUP($AC$5,名前2!$C:$J,20,0)</f>
        <v>する。</v>
      </c>
    </row>
    <row r="25" spans="1:29" ht="16.5" customHeight="1" thickBot="1" x14ac:dyDescent="0.25">
      <c r="A25" s="25" t="s">
        <v>23</v>
      </c>
      <c r="O25" s="41"/>
      <c r="S25" s="5"/>
      <c r="AB25" s="54" t="str">
        <f>HLOOKUP($AB$5,名前2!$C:$J,21,0)</f>
        <v>備　　　考　</v>
      </c>
      <c r="AC25" s="54" t="str">
        <f>HLOOKUP($AC$5,名前2!$C:$J,21,0)</f>
        <v>１　自動車検査証に記載されている諸元を基準とする。</v>
      </c>
    </row>
    <row r="26" spans="1:29" ht="16.5" customHeight="1" x14ac:dyDescent="0.2">
      <c r="A26" s="145" t="s">
        <v>89</v>
      </c>
      <c r="B26" s="269"/>
      <c r="C26" s="271" t="s">
        <v>3</v>
      </c>
      <c r="D26" s="271"/>
      <c r="E26" s="271"/>
      <c r="F26" s="271"/>
      <c r="G26" s="271"/>
      <c r="H26" s="272"/>
      <c r="I26" s="273" t="s">
        <v>4</v>
      </c>
      <c r="J26" s="274"/>
      <c r="K26" s="274"/>
      <c r="L26" s="274"/>
      <c r="M26" s="274"/>
      <c r="N26" s="275"/>
      <c r="O26" s="41" t="s">
        <v>89</v>
      </c>
      <c r="P26" s="269"/>
      <c r="Q26" s="273" t="s">
        <v>5</v>
      </c>
      <c r="R26" s="275"/>
      <c r="U26" s="266"/>
      <c r="V26" s="267"/>
      <c r="W26" s="267"/>
      <c r="X26" s="266"/>
      <c r="Y26" s="267"/>
      <c r="Z26" s="267"/>
      <c r="AB26" s="54"/>
      <c r="AC26" s="54" t="str">
        <f>HLOOKUP($AC$5,名前2!$C:$J,22,0)</f>
        <v>２　車体の形状が患者輸送車、車いす移動車又は身体障害</v>
      </c>
    </row>
    <row r="27" spans="1:29" ht="30" customHeight="1" thickBot="1" x14ac:dyDescent="0.25">
      <c r="A27" s="144" t="str">
        <f>IF(COUNTIF(A28:A32,"○")=0,"無","")</f>
        <v>無</v>
      </c>
      <c r="B27" s="270"/>
      <c r="C27" s="279" t="s">
        <v>26</v>
      </c>
      <c r="D27" s="280"/>
      <c r="E27" s="281" t="s">
        <v>6</v>
      </c>
      <c r="F27" s="282"/>
      <c r="G27" s="282"/>
      <c r="H27" s="280"/>
      <c r="I27" s="276"/>
      <c r="J27" s="277"/>
      <c r="K27" s="277"/>
      <c r="L27" s="277"/>
      <c r="M27" s="277"/>
      <c r="N27" s="278"/>
      <c r="O27" s="42" t="str">
        <f>IF(COUNTIF(O28:O32,"○")=0,"無","")</f>
        <v>無</v>
      </c>
      <c r="P27" s="270"/>
      <c r="Q27" s="283">
        <v>30</v>
      </c>
      <c r="R27" s="284"/>
      <c r="U27" s="266"/>
      <c r="V27" s="268"/>
      <c r="W27" s="268"/>
      <c r="X27" s="266"/>
      <c r="Y27" s="268"/>
      <c r="Z27" s="268"/>
      <c r="AB27" s="54"/>
      <c r="AC27" s="54" t="str">
        <f>HLOOKUP($AC$5,名前2!$C:$J,23,0)</f>
        <v>者輸送車である特種自動車については、上記の車種区分に</v>
      </c>
    </row>
    <row r="28" spans="1:29" ht="16.5" customHeight="1" thickTop="1" x14ac:dyDescent="0.2">
      <c r="A28" s="143"/>
      <c r="B28" s="6" t="s">
        <v>8</v>
      </c>
      <c r="C28" s="7">
        <v>600</v>
      </c>
      <c r="D28" s="8" t="s">
        <v>9</v>
      </c>
      <c r="E28" s="9">
        <v>231</v>
      </c>
      <c r="F28" s="10" t="s">
        <v>10</v>
      </c>
      <c r="G28" s="7">
        <v>100</v>
      </c>
      <c r="H28" s="8" t="s">
        <v>9</v>
      </c>
      <c r="I28" s="11">
        <f t="shared" ref="I28:I32" si="4">TRUNC(CEILING(ROUNDUP(E28*0.36,0),5)/60,0)</f>
        <v>1</v>
      </c>
      <c r="J28" s="12" t="s">
        <v>11</v>
      </c>
      <c r="K28" s="13">
        <f t="shared" ref="K28:K32" si="5">TRUNC(CEILING(ROUNDUP(E28*0.36,0),5)-I28*60,0)</f>
        <v>25</v>
      </c>
      <c r="L28" s="14" t="s">
        <v>12</v>
      </c>
      <c r="M28" s="7">
        <v>100</v>
      </c>
      <c r="N28" s="15" t="s">
        <v>9</v>
      </c>
      <c r="O28" s="99"/>
      <c r="P28" s="6" t="s">
        <v>8</v>
      </c>
      <c r="Q28" s="16">
        <v>3450</v>
      </c>
      <c r="R28" s="15" t="s">
        <v>9</v>
      </c>
      <c r="U28" s="2"/>
      <c r="V28" s="167"/>
      <c r="X28" s="2"/>
      <c r="Y28" s="167"/>
      <c r="AB28" s="54"/>
      <c r="AC28" s="54" t="str">
        <f>HLOOKUP($AC$5,名前2!$C:$J,24,0)</f>
        <v>よらず、以下の区分を適用する。</v>
      </c>
    </row>
    <row r="29" spans="1:29" ht="16.5" customHeight="1" x14ac:dyDescent="0.2">
      <c r="A29" s="143"/>
      <c r="B29" s="17" t="s">
        <v>13</v>
      </c>
      <c r="C29" s="22">
        <f>C28-10</f>
        <v>590</v>
      </c>
      <c r="D29" s="23" t="s">
        <v>9</v>
      </c>
      <c r="E29" s="20">
        <f>ROUND(E$28/(C29/C$28),0)</f>
        <v>235</v>
      </c>
      <c r="F29" s="22" t="s">
        <v>10</v>
      </c>
      <c r="G29" s="22">
        <v>100</v>
      </c>
      <c r="H29" s="23" t="s">
        <v>9</v>
      </c>
      <c r="I29" s="11">
        <f t="shared" si="4"/>
        <v>1</v>
      </c>
      <c r="J29" s="12" t="s">
        <v>11</v>
      </c>
      <c r="K29" s="13">
        <f t="shared" si="5"/>
        <v>25</v>
      </c>
      <c r="L29" s="14" t="s">
        <v>12</v>
      </c>
      <c r="M29" s="22">
        <v>100</v>
      </c>
      <c r="N29" s="28" t="s">
        <v>9</v>
      </c>
      <c r="O29" s="99"/>
      <c r="P29" s="17" t="s">
        <v>13</v>
      </c>
      <c r="Q29" s="20">
        <f>ROUNDUP((C29/C$28)*Q$28,-1)</f>
        <v>3400</v>
      </c>
      <c r="R29" s="21" t="s">
        <v>9</v>
      </c>
      <c r="U29" s="2"/>
      <c r="V29" s="168"/>
      <c r="X29" s="2"/>
      <c r="Y29" s="168"/>
      <c r="AB29" s="54"/>
      <c r="AC29" s="54" t="str">
        <f>HLOOKUP($AC$5,名前2!$C:$J,25,0)</f>
        <v>一　次号に掲げる自動車以外の自動車</v>
      </c>
    </row>
    <row r="30" spans="1:29" ht="16.5" customHeight="1" x14ac:dyDescent="0.2">
      <c r="A30" s="143"/>
      <c r="B30" s="17" t="s">
        <v>24</v>
      </c>
      <c r="C30" s="22">
        <f>C29-10</f>
        <v>580</v>
      </c>
      <c r="D30" s="23" t="s">
        <v>9</v>
      </c>
      <c r="E30" s="24">
        <f>ROUND(E$28/(C30/C$28),0)</f>
        <v>239</v>
      </c>
      <c r="F30" s="22" t="s">
        <v>10</v>
      </c>
      <c r="G30" s="22">
        <v>100</v>
      </c>
      <c r="H30" s="23" t="s">
        <v>9</v>
      </c>
      <c r="I30" s="25">
        <f t="shared" si="4"/>
        <v>1</v>
      </c>
      <c r="J30" s="1" t="s">
        <v>11</v>
      </c>
      <c r="K30" s="26">
        <f t="shared" si="5"/>
        <v>30</v>
      </c>
      <c r="L30" s="27" t="s">
        <v>12</v>
      </c>
      <c r="M30" s="22">
        <v>100</v>
      </c>
      <c r="N30" s="28" t="s">
        <v>9</v>
      </c>
      <c r="O30" s="99"/>
      <c r="P30" s="17" t="s">
        <v>25</v>
      </c>
      <c r="Q30" s="24">
        <f>ROUNDUP((C30/C$28)*Q$28,-1)</f>
        <v>3340</v>
      </c>
      <c r="R30" s="28" t="s">
        <v>9</v>
      </c>
      <c r="U30" s="2"/>
      <c r="V30" s="168"/>
      <c r="X30" s="2"/>
      <c r="Y30" s="168"/>
      <c r="AB30" s="54"/>
      <c r="AC30" s="54" t="str">
        <f>HLOOKUP($AC$5,名前2!$C:$J,26,0)</f>
        <v>ア　乗車定員が７名以上のもの　大型車</v>
      </c>
    </row>
    <row r="31" spans="1:29" ht="16.5" customHeight="1" x14ac:dyDescent="0.2">
      <c r="A31" s="143"/>
      <c r="B31" s="17" t="s">
        <v>22</v>
      </c>
      <c r="C31" s="18">
        <f>C30-10</f>
        <v>570</v>
      </c>
      <c r="D31" s="19" t="s">
        <v>9</v>
      </c>
      <c r="E31" s="20">
        <f>ROUND(E$28/(C31/C$28),0)</f>
        <v>243</v>
      </c>
      <c r="F31" s="18" t="s">
        <v>10</v>
      </c>
      <c r="G31" s="22">
        <v>100</v>
      </c>
      <c r="H31" s="19" t="s">
        <v>9</v>
      </c>
      <c r="I31" s="29">
        <f t="shared" si="4"/>
        <v>1</v>
      </c>
      <c r="J31" s="18" t="s">
        <v>11</v>
      </c>
      <c r="K31" s="30">
        <f t="shared" si="5"/>
        <v>30</v>
      </c>
      <c r="L31" s="31" t="s">
        <v>12</v>
      </c>
      <c r="M31" s="22">
        <v>100</v>
      </c>
      <c r="N31" s="21" t="s">
        <v>9</v>
      </c>
      <c r="O31" s="99"/>
      <c r="P31" s="17" t="s">
        <v>22</v>
      </c>
      <c r="Q31" s="20">
        <f>ROUNDUP((C31/C$28)*Q$28,-1)</f>
        <v>3280</v>
      </c>
      <c r="R31" s="21" t="s">
        <v>9</v>
      </c>
      <c r="U31" s="2"/>
      <c r="V31" s="168"/>
      <c r="X31" s="2"/>
      <c r="Y31" s="168"/>
      <c r="AB31" s="54"/>
      <c r="AC31" s="54" t="str">
        <f>HLOOKUP($AC$5,名前2!$C:$J,27,0)</f>
        <v>イ　乗車定員が６名以下のもの　普通車</v>
      </c>
    </row>
    <row r="32" spans="1:29" ht="16.5" customHeight="1" thickBot="1" x14ac:dyDescent="0.25">
      <c r="A32" s="143"/>
      <c r="B32" s="40" t="s">
        <v>7</v>
      </c>
      <c r="C32" s="33">
        <f>C31-10</f>
        <v>560</v>
      </c>
      <c r="D32" s="105" t="s">
        <v>9</v>
      </c>
      <c r="E32" s="39">
        <f t="shared" ref="E32" si="6">ROUND(E$28/(C32/C$28),0)</f>
        <v>248</v>
      </c>
      <c r="F32" s="33" t="s">
        <v>10</v>
      </c>
      <c r="G32" s="33">
        <v>100</v>
      </c>
      <c r="H32" s="105" t="s">
        <v>9</v>
      </c>
      <c r="I32" s="106">
        <f t="shared" si="4"/>
        <v>1</v>
      </c>
      <c r="J32" s="33" t="s">
        <v>11</v>
      </c>
      <c r="K32" s="107">
        <f t="shared" si="5"/>
        <v>30</v>
      </c>
      <c r="L32" s="108" t="s">
        <v>12</v>
      </c>
      <c r="M32" s="33">
        <v>100</v>
      </c>
      <c r="N32" s="38" t="s">
        <v>9</v>
      </c>
      <c r="O32" s="99"/>
      <c r="P32" s="40" t="s">
        <v>7</v>
      </c>
      <c r="Q32" s="39">
        <f t="shared" ref="Q32" si="7">ROUNDUP((C32/C$28)*Q$28,-1)</f>
        <v>3220</v>
      </c>
      <c r="R32" s="38" t="s">
        <v>9</v>
      </c>
      <c r="U32" s="2"/>
      <c r="V32" s="168"/>
      <c r="X32" s="2"/>
      <c r="Y32" s="168"/>
      <c r="AB32" s="54"/>
      <c r="AC32" s="54" t="str">
        <f>HLOOKUP($AC$5,名前2!$C:$J,28,0)</f>
        <v>二　専ら旅客を寝台に乗せて運行することを目的とする</v>
      </c>
    </row>
    <row r="33" spans="1:29" ht="16.5" customHeight="1" x14ac:dyDescent="0.2">
      <c r="AB33" s="54"/>
      <c r="AC33" s="54" t="str">
        <f>HLOOKUP($AC$5,名前2!$C:$J,29,0)</f>
        <v>自動車</v>
      </c>
    </row>
    <row r="34" spans="1:29" ht="16.5" customHeight="1" x14ac:dyDescent="0.2">
      <c r="AB34" s="54"/>
      <c r="AC34" s="54" t="str">
        <f>HLOOKUP($AC$5,名前2!$C:$J,30,0)</f>
        <v>ア　普通自動車　普通自動車</v>
      </c>
    </row>
    <row r="35" spans="1:29" ht="16.5" customHeight="1" x14ac:dyDescent="0.2">
      <c r="B35" s="1" t="s">
        <v>171</v>
      </c>
      <c r="C35" s="65" t="str">
        <f>HYPERLINK("#手引き!B46","手引きへ戻る")</f>
        <v>手引きへ戻る</v>
      </c>
      <c r="AB35" s="54"/>
      <c r="AC35" s="54" t="str">
        <f>IF(HLOOKUP($AC$5,名前2!$C:$J,31,0)=0,"",HLOOKUP($AC$5,名前2!$C:$J,31,0))</f>
        <v>イ　小型自動車　小型自動車</v>
      </c>
    </row>
    <row r="36" spans="1:29" ht="16.5" customHeight="1" x14ac:dyDescent="0.2">
      <c r="AB36" s="54"/>
      <c r="AC36" s="54" t="str">
        <f>IF(HLOOKUP($AC$5,名前2!$C:$J,32,0)=0,"",HLOOKUP($AC$5,名前2!$C:$J,32,0))</f>
        <v>３　上記の車種区分において、ハイブリッド自動車とは、</v>
      </c>
    </row>
    <row r="37" spans="1:29" ht="16.5" customHeight="1" x14ac:dyDescent="0.2">
      <c r="AB37" s="54"/>
      <c r="AC37" s="54" t="str">
        <f>IF(HLOOKUP($AC$5,名前2!$C:$J,33,0)=0,"",HLOOKUP($AC$5,名前2!$C:$J,33,0))</f>
        <v>内燃機関を搭載し、併せて電気又は蓄圧器に蓄えられた</v>
      </c>
    </row>
    <row r="38" spans="1:29" ht="16.5" customHeight="1" x14ac:dyDescent="0.2">
      <c r="A38" s="146"/>
      <c r="B38" s="27"/>
      <c r="AB38" s="54"/>
      <c r="AC38" s="54" t="str">
        <f>IF(HLOOKUP($AC$5,名前2!$C:$J,34,0)=0,"",HLOOKUP($AC$5,名前2!$C:$J,34,0))</f>
        <v>圧力を動力源として用いる自動車をいう。</v>
      </c>
    </row>
    <row r="39" spans="1:29" ht="16.5" customHeight="1" x14ac:dyDescent="0.2">
      <c r="A39" s="146"/>
      <c r="B39" s="27"/>
      <c r="AB39" s="54"/>
      <c r="AC39" s="54" t="str">
        <f>IF(HLOOKUP($AC$5,名前2!$C:$J,35,0)=0,"",HLOOKUP($AC$5,名前2!$C:$J,35,0))</f>
        <v/>
      </c>
    </row>
    <row r="40" spans="1:29" ht="13.5" customHeight="1" x14ac:dyDescent="0.2">
      <c r="B40" s="27"/>
      <c r="AB40" s="54"/>
      <c r="AC40" s="54" t="str">
        <f>IF(HLOOKUP($AC$5,名前2!$C:$J,36,0)=0,"",HLOOKUP($AC$5,名前2!$C:$J,36,0))</f>
        <v/>
      </c>
    </row>
    <row r="41" spans="1:29" ht="13.5" customHeight="1" x14ac:dyDescent="0.2">
      <c r="B41" s="27"/>
      <c r="AB41" s="54"/>
      <c r="AC41" s="54" t="str">
        <f>IF(HLOOKUP($AC$5,名前2!$C:$J,37,0)=0,"",HLOOKUP($AC$5,名前2!$C:$J,37,0))</f>
        <v/>
      </c>
    </row>
    <row r="42" spans="1:29" ht="13.5" customHeight="1" x14ac:dyDescent="0.2">
      <c r="AB42" s="54"/>
      <c r="AC42" s="54" t="str">
        <f>IF(HLOOKUP($AC$5,名前2!$C:$J,38,0)=0,"",HLOOKUP($AC$5,名前2!$C:$J,38,0))</f>
        <v/>
      </c>
    </row>
    <row r="43" spans="1:29" ht="13.5" customHeight="1" x14ac:dyDescent="0.2">
      <c r="AB43" s="54"/>
      <c r="AC43" s="54" t="str">
        <f>IF(HLOOKUP($AC$5,名前2!$C:$J,39,0)=0,"",HLOOKUP($AC$5,名前2!$C:$J,39,0))</f>
        <v/>
      </c>
    </row>
    <row r="44" spans="1:29" x14ac:dyDescent="0.2">
      <c r="AB44" s="54"/>
      <c r="AC44" s="54" t="str">
        <f>IF(HLOOKUP($AC$5,名前2!$C:$J,40,0)=0,"",HLOOKUP($AC$5,名前2!$C:$J,40,0))</f>
        <v/>
      </c>
    </row>
    <row r="45" spans="1:29" ht="13.5" customHeight="1" x14ac:dyDescent="0.2">
      <c r="AB45" s="54"/>
    </row>
    <row r="46" spans="1:29" x14ac:dyDescent="0.2">
      <c r="AB46" s="54"/>
    </row>
  </sheetData>
  <sheetProtection algorithmName="SHA-512" hashValue="7qGnjGQrdepidR0wcp1t/aornSnx+xAcX6/uA5EkPGYDRAJIrRv485QPyIn5TysXgZ37qKk3Qx4t62R8P+6XLQ==" saltValue="jEVz7ij+JwZhvptN+lEK3w==" spinCount="100000" sheet="1" objects="1" scenarios="1"/>
  <mergeCells count="45">
    <mergeCell ref="C4:S4"/>
    <mergeCell ref="C3:S3"/>
    <mergeCell ref="B2:R2"/>
    <mergeCell ref="B7:B8"/>
    <mergeCell ref="C7:H7"/>
    <mergeCell ref="I7:N8"/>
    <mergeCell ref="P7:P8"/>
    <mergeCell ref="Q7:R7"/>
    <mergeCell ref="C8:D8"/>
    <mergeCell ref="E8:H8"/>
    <mergeCell ref="Q8:R8"/>
    <mergeCell ref="B17:B18"/>
    <mergeCell ref="C17:H17"/>
    <mergeCell ref="I17:N18"/>
    <mergeCell ref="P17:P18"/>
    <mergeCell ref="Q17:R17"/>
    <mergeCell ref="C18:D18"/>
    <mergeCell ref="E18:H18"/>
    <mergeCell ref="Q18:R18"/>
    <mergeCell ref="B26:B27"/>
    <mergeCell ref="C26:H26"/>
    <mergeCell ref="I26:N27"/>
    <mergeCell ref="P26:P27"/>
    <mergeCell ref="Q26:R26"/>
    <mergeCell ref="C27:D27"/>
    <mergeCell ref="E27:H27"/>
    <mergeCell ref="Q27:R27"/>
    <mergeCell ref="U7:U8"/>
    <mergeCell ref="V7:W7"/>
    <mergeCell ref="X7:X8"/>
    <mergeCell ref="Y7:Z7"/>
    <mergeCell ref="V8:W8"/>
    <mergeCell ref="Y8:Z8"/>
    <mergeCell ref="U17:U18"/>
    <mergeCell ref="V17:W17"/>
    <mergeCell ref="X17:X18"/>
    <mergeCell ref="Y17:Z17"/>
    <mergeCell ref="V18:W18"/>
    <mergeCell ref="Y18:Z18"/>
    <mergeCell ref="U26:U27"/>
    <mergeCell ref="V26:W26"/>
    <mergeCell ref="X26:X27"/>
    <mergeCell ref="Y26:Z26"/>
    <mergeCell ref="V27:W27"/>
    <mergeCell ref="Y27:Z27"/>
  </mergeCells>
  <phoneticPr fontId="2"/>
  <conditionalFormatting sqref="A9:A14 O9:O14">
    <cfRule type="expression" dxfId="2" priority="133">
      <formula>COUNTIF(A$9:A$14,"○")=1</formula>
    </cfRule>
  </conditionalFormatting>
  <conditionalFormatting sqref="A19:A23 O19:O23">
    <cfRule type="expression" dxfId="1" priority="134">
      <formula>COUNTIF(A$19:A$23,"○")=1</formula>
    </cfRule>
  </conditionalFormatting>
  <conditionalFormatting sqref="A28:A32 O28:O32">
    <cfRule type="expression" dxfId="0" priority="135">
      <formula>COUNTIF(A$28:A$32,"○")=1</formula>
    </cfRule>
  </conditionalFormatting>
  <pageMargins left="0.78740157480314965" right="0.39370078740157483" top="0.59055118110236227" bottom="0.39370078740157483" header="0.51181102362204722" footer="0.51181102362204722"/>
  <pageSetup paperSize="9" orientation="portrait" r:id="rId1"/>
  <headerFooter alignWithMargins="0"/>
  <rowBreaks count="1" manualBreakCount="1">
    <brk id="40" max="3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名前2!$B$1:$B$2</xm:f>
          </x14:formula1>
          <xm:sqref>O9:O14 A9:A14 O19:O23 A19:A23 O28:O32 A28:A32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L53"/>
  <sheetViews>
    <sheetView workbookViewId="0"/>
  </sheetViews>
  <sheetFormatPr defaultRowHeight="13.2" x14ac:dyDescent="0.2"/>
  <cols>
    <col min="3" max="3" width="13.88671875" bestFit="1" customWidth="1"/>
    <col min="4" max="4" width="58.21875" bestFit="1" customWidth="1"/>
    <col min="5" max="5" width="13.88671875" bestFit="1" customWidth="1"/>
    <col min="6" max="6" width="58.21875" bestFit="1" customWidth="1"/>
    <col min="7" max="7" width="13.88671875" bestFit="1" customWidth="1"/>
    <col min="8" max="8" width="58.21875" bestFit="1" customWidth="1"/>
    <col min="9" max="9" width="13.88671875" customWidth="1"/>
    <col min="10" max="10" width="58.21875" customWidth="1"/>
    <col min="11" max="11" width="13.88671875" customWidth="1"/>
    <col min="12" max="12" width="58.21875" customWidth="1"/>
  </cols>
  <sheetData>
    <row r="1" spans="1:12" x14ac:dyDescent="0.2">
      <c r="A1" t="s">
        <v>34</v>
      </c>
      <c r="B1" t="s">
        <v>36</v>
      </c>
      <c r="C1" t="s">
        <v>167</v>
      </c>
      <c r="D1" t="s">
        <v>134</v>
      </c>
      <c r="E1" t="s">
        <v>168</v>
      </c>
      <c r="F1" t="s">
        <v>135</v>
      </c>
      <c r="G1" t="s">
        <v>169</v>
      </c>
      <c r="H1" t="s">
        <v>138</v>
      </c>
      <c r="I1" t="s">
        <v>170</v>
      </c>
      <c r="J1" t="s">
        <v>157</v>
      </c>
      <c r="K1" t="s">
        <v>230</v>
      </c>
      <c r="L1" t="s">
        <v>224</v>
      </c>
    </row>
    <row r="2" spans="1:12" x14ac:dyDescent="0.2">
      <c r="A2" t="s">
        <v>35</v>
      </c>
      <c r="C2" s="54" t="s">
        <v>48</v>
      </c>
      <c r="D2" s="54" t="s">
        <v>49</v>
      </c>
      <c r="E2" s="54" t="s">
        <v>48</v>
      </c>
      <c r="F2" s="54" t="s">
        <v>49</v>
      </c>
      <c r="G2" s="54" t="s">
        <v>48</v>
      </c>
      <c r="H2" s="54" t="s">
        <v>49</v>
      </c>
      <c r="I2" s="54" t="s">
        <v>48</v>
      </c>
      <c r="J2" s="54" t="s">
        <v>49</v>
      </c>
      <c r="K2" s="54" t="s">
        <v>48</v>
      </c>
      <c r="L2" s="54" t="s">
        <v>49</v>
      </c>
    </row>
    <row r="3" spans="1:12" x14ac:dyDescent="0.2">
      <c r="A3" t="s">
        <v>211</v>
      </c>
      <c r="B3" t="s">
        <v>37</v>
      </c>
      <c r="C3" s="54"/>
      <c r="D3" s="54" t="s">
        <v>51</v>
      </c>
      <c r="E3" s="54"/>
      <c r="F3" s="54" t="s">
        <v>51</v>
      </c>
      <c r="G3" s="54"/>
      <c r="H3" s="54" t="s">
        <v>51</v>
      </c>
      <c r="I3" s="54"/>
      <c r="J3" s="54" t="s">
        <v>51</v>
      </c>
      <c r="K3" s="54"/>
      <c r="L3" s="54" t="s">
        <v>51</v>
      </c>
    </row>
    <row r="4" spans="1:12" x14ac:dyDescent="0.2">
      <c r="A4" t="s">
        <v>212</v>
      </c>
      <c r="C4" s="54"/>
      <c r="D4" s="54" t="s">
        <v>136</v>
      </c>
      <c r="E4" s="54"/>
      <c r="F4" s="54" t="s">
        <v>136</v>
      </c>
      <c r="G4" s="54"/>
      <c r="H4" s="54" t="s">
        <v>50</v>
      </c>
      <c r="I4" s="54"/>
      <c r="J4" s="54" t="s">
        <v>50</v>
      </c>
      <c r="K4" s="54"/>
      <c r="L4" s="54" t="s">
        <v>50</v>
      </c>
    </row>
    <row r="5" spans="1:12" x14ac:dyDescent="0.2">
      <c r="A5" t="s">
        <v>134</v>
      </c>
      <c r="B5" t="s">
        <v>167</v>
      </c>
      <c r="C5" s="54" t="s">
        <v>61</v>
      </c>
      <c r="D5" s="54" t="s">
        <v>63</v>
      </c>
      <c r="E5" s="54" t="s">
        <v>61</v>
      </c>
      <c r="F5" s="54" t="s">
        <v>81</v>
      </c>
      <c r="G5" s="54" t="s">
        <v>61</v>
      </c>
      <c r="H5" s="54" t="s">
        <v>81</v>
      </c>
      <c r="I5" s="54" t="s">
        <v>61</v>
      </c>
      <c r="J5" s="54" t="s">
        <v>81</v>
      </c>
      <c r="K5" s="54" t="s">
        <v>61</v>
      </c>
      <c r="L5" s="54" t="s">
        <v>81</v>
      </c>
    </row>
    <row r="6" spans="1:12" x14ac:dyDescent="0.2">
      <c r="A6" t="s">
        <v>135</v>
      </c>
      <c r="B6" t="s">
        <v>168</v>
      </c>
      <c r="C6" s="54"/>
      <c r="D6" s="54" t="s">
        <v>305</v>
      </c>
      <c r="E6" s="54"/>
      <c r="F6" s="54" t="s">
        <v>82</v>
      </c>
      <c r="G6" s="54"/>
      <c r="H6" s="54" t="s">
        <v>82</v>
      </c>
      <c r="I6" s="54"/>
      <c r="J6" s="54" t="s">
        <v>82</v>
      </c>
      <c r="K6" s="54"/>
      <c r="L6" s="54" t="s">
        <v>82</v>
      </c>
    </row>
    <row r="7" spans="1:12" x14ac:dyDescent="0.2">
      <c r="A7" t="s">
        <v>138</v>
      </c>
      <c r="B7" t="s">
        <v>169</v>
      </c>
      <c r="C7" s="54"/>
      <c r="D7" s="54" t="s">
        <v>306</v>
      </c>
      <c r="E7" s="54"/>
      <c r="F7" s="54" t="s">
        <v>137</v>
      </c>
      <c r="G7" s="54"/>
      <c r="H7" s="54" t="s">
        <v>83</v>
      </c>
      <c r="I7" s="54"/>
      <c r="J7" s="54" t="s">
        <v>83</v>
      </c>
      <c r="K7" s="54"/>
      <c r="L7" s="54" t="s">
        <v>83</v>
      </c>
    </row>
    <row r="8" spans="1:12" x14ac:dyDescent="0.2">
      <c r="A8" t="s">
        <v>157</v>
      </c>
      <c r="B8" t="s">
        <v>170</v>
      </c>
      <c r="C8" s="54"/>
      <c r="D8" s="54" t="s">
        <v>307</v>
      </c>
      <c r="E8" s="54" t="s">
        <v>62</v>
      </c>
      <c r="F8" s="54" t="s">
        <v>63</v>
      </c>
      <c r="G8" s="54" t="s">
        <v>62</v>
      </c>
      <c r="H8" s="54" t="s">
        <v>63</v>
      </c>
      <c r="I8" s="54" t="s">
        <v>144</v>
      </c>
      <c r="J8" s="54" t="s">
        <v>63</v>
      </c>
      <c r="K8" s="54" t="s">
        <v>144</v>
      </c>
      <c r="L8" s="54" t="s">
        <v>63</v>
      </c>
    </row>
    <row r="9" spans="1:12" x14ac:dyDescent="0.2">
      <c r="A9" t="s">
        <v>224</v>
      </c>
      <c r="B9" t="s">
        <v>230</v>
      </c>
      <c r="C9" s="54"/>
      <c r="D9" s="54" t="s">
        <v>308</v>
      </c>
      <c r="E9" s="54"/>
      <c r="F9" s="54" t="s">
        <v>73</v>
      </c>
      <c r="G9" s="54"/>
      <c r="H9" s="54" t="s">
        <v>73</v>
      </c>
      <c r="I9" s="54"/>
      <c r="J9" s="54" t="s">
        <v>140</v>
      </c>
      <c r="K9" s="54"/>
      <c r="L9" s="54" t="s">
        <v>140</v>
      </c>
    </row>
    <row r="10" spans="1:12" x14ac:dyDescent="0.2">
      <c r="C10" s="54"/>
      <c r="D10" s="54" t="s">
        <v>83</v>
      </c>
      <c r="E10" s="54"/>
      <c r="F10" s="54" t="s">
        <v>74</v>
      </c>
      <c r="G10" s="54"/>
      <c r="H10" s="54" t="s">
        <v>74</v>
      </c>
      <c r="I10" s="54"/>
      <c r="J10" s="54" t="s">
        <v>139</v>
      </c>
      <c r="K10" s="54"/>
      <c r="L10" s="54" t="s">
        <v>139</v>
      </c>
    </row>
    <row r="11" spans="1:12" x14ac:dyDescent="0.2">
      <c r="A11" t="str">
        <f>IF(別紙!AF2=60,60,"")</f>
        <v/>
      </c>
      <c r="B11">
        <v>30</v>
      </c>
      <c r="C11" s="54" t="s">
        <v>62</v>
      </c>
      <c r="D11" s="54" t="s">
        <v>63</v>
      </c>
      <c r="E11" s="54"/>
      <c r="F11" s="54" t="s">
        <v>75</v>
      </c>
      <c r="G11" s="54"/>
      <c r="H11" s="54" t="s">
        <v>75</v>
      </c>
      <c r="I11" s="54"/>
      <c r="J11" s="54" t="s">
        <v>141</v>
      </c>
      <c r="K11" s="54"/>
      <c r="L11" s="54" t="s">
        <v>141</v>
      </c>
    </row>
    <row r="12" spans="1:12" x14ac:dyDescent="0.2">
      <c r="A12">
        <v>30</v>
      </c>
      <c r="B12">
        <v>15</v>
      </c>
      <c r="C12" s="54"/>
      <c r="D12" s="54" t="s">
        <v>73</v>
      </c>
      <c r="E12" s="54"/>
      <c r="F12" s="54" t="s">
        <v>379</v>
      </c>
      <c r="G12" s="54"/>
      <c r="H12" s="54" t="s">
        <v>379</v>
      </c>
      <c r="I12" s="54"/>
      <c r="J12" s="54" t="s">
        <v>142</v>
      </c>
      <c r="K12" s="54"/>
      <c r="L12" s="54" t="s">
        <v>142</v>
      </c>
    </row>
    <row r="13" spans="1:12" x14ac:dyDescent="0.2">
      <c r="A13">
        <v>15</v>
      </c>
      <c r="B13">
        <v>10</v>
      </c>
      <c r="C13" s="54"/>
      <c r="D13" s="54" t="s">
        <v>74</v>
      </c>
      <c r="E13" s="54"/>
      <c r="F13" s="54" t="s">
        <v>380</v>
      </c>
      <c r="G13" s="54"/>
      <c r="H13" s="54" t="s">
        <v>380</v>
      </c>
      <c r="I13" s="54"/>
      <c r="J13" s="54" t="s">
        <v>143</v>
      </c>
      <c r="K13" s="54"/>
      <c r="L13" s="54" t="s">
        <v>143</v>
      </c>
    </row>
    <row r="14" spans="1:12" x14ac:dyDescent="0.2">
      <c r="A14">
        <v>10</v>
      </c>
      <c r="C14" s="54"/>
      <c r="D14" s="54" t="s">
        <v>75</v>
      </c>
      <c r="F14" s="54" t="s">
        <v>382</v>
      </c>
      <c r="H14" s="54" t="s">
        <v>382</v>
      </c>
      <c r="I14" s="54" t="s">
        <v>145</v>
      </c>
      <c r="J14" s="54" t="s">
        <v>63</v>
      </c>
      <c r="K14" s="54" t="s">
        <v>145</v>
      </c>
      <c r="L14" s="54" t="s">
        <v>63</v>
      </c>
    </row>
    <row r="15" spans="1:12" x14ac:dyDescent="0.2">
      <c r="C15" s="54"/>
      <c r="D15" s="54" t="s">
        <v>379</v>
      </c>
      <c r="F15" s="54" t="s">
        <v>381</v>
      </c>
      <c r="H15" s="54" t="s">
        <v>381</v>
      </c>
      <c r="I15" s="54"/>
      <c r="J15" s="54" t="s">
        <v>146</v>
      </c>
      <c r="K15" s="54"/>
      <c r="L15" s="54" t="s">
        <v>146</v>
      </c>
    </row>
    <row r="16" spans="1:12" x14ac:dyDescent="0.2">
      <c r="C16" s="54"/>
      <c r="D16" s="54" t="s">
        <v>380</v>
      </c>
      <c r="F16" s="54" t="s">
        <v>374</v>
      </c>
      <c r="H16" s="54" t="s">
        <v>374</v>
      </c>
      <c r="I16" s="54"/>
      <c r="J16" s="54" t="s">
        <v>147</v>
      </c>
      <c r="K16" s="54"/>
      <c r="L16" s="54" t="s">
        <v>147</v>
      </c>
    </row>
    <row r="17" spans="1:12" x14ac:dyDescent="0.2">
      <c r="D17" s="54" t="s">
        <v>382</v>
      </c>
      <c r="F17" s="54" t="s">
        <v>375</v>
      </c>
      <c r="H17" s="54" t="s">
        <v>375</v>
      </c>
      <c r="I17" s="54"/>
      <c r="J17" s="54" t="s">
        <v>75</v>
      </c>
      <c r="K17" s="54"/>
      <c r="L17" s="54" t="s">
        <v>75</v>
      </c>
    </row>
    <row r="18" spans="1:12" x14ac:dyDescent="0.2">
      <c r="A18">
        <v>1</v>
      </c>
      <c r="B18" t="s">
        <v>243</v>
      </c>
      <c r="D18" s="54" t="s">
        <v>381</v>
      </c>
      <c r="E18" s="54" t="s">
        <v>64</v>
      </c>
      <c r="F18" s="54" t="s">
        <v>376</v>
      </c>
      <c r="G18" s="54" t="s">
        <v>64</v>
      </c>
      <c r="H18" s="54" t="s">
        <v>376</v>
      </c>
      <c r="I18" s="54"/>
      <c r="J18" s="54" t="s">
        <v>148</v>
      </c>
      <c r="K18" s="54"/>
      <c r="L18" s="54" t="s">
        <v>148</v>
      </c>
    </row>
    <row r="19" spans="1:12" x14ac:dyDescent="0.2">
      <c r="A19">
        <v>2</v>
      </c>
      <c r="B19" t="s">
        <v>244</v>
      </c>
      <c r="D19" s="54" t="s">
        <v>374</v>
      </c>
      <c r="E19" s="54"/>
      <c r="F19" s="54" t="s">
        <v>78</v>
      </c>
      <c r="G19" s="54"/>
      <c r="H19" s="54" t="s">
        <v>78</v>
      </c>
      <c r="I19" s="54"/>
      <c r="J19" s="54" t="s">
        <v>149</v>
      </c>
      <c r="K19" s="54"/>
      <c r="L19" s="54" t="s">
        <v>149</v>
      </c>
    </row>
    <row r="20" spans="1:12" x14ac:dyDescent="0.2">
      <c r="A20">
        <v>3</v>
      </c>
      <c r="B20" t="s">
        <v>245</v>
      </c>
      <c r="D20" s="54" t="s">
        <v>375</v>
      </c>
      <c r="E20" s="54"/>
      <c r="F20" s="54" t="s">
        <v>377</v>
      </c>
      <c r="G20" s="54"/>
      <c r="H20" s="54" t="s">
        <v>377</v>
      </c>
      <c r="I20" s="54" t="s">
        <v>64</v>
      </c>
      <c r="J20" s="54" t="s">
        <v>76</v>
      </c>
      <c r="K20" s="54" t="s">
        <v>64</v>
      </c>
      <c r="L20" s="54" t="s">
        <v>76</v>
      </c>
    </row>
    <row r="21" spans="1:12" x14ac:dyDescent="0.2">
      <c r="A21">
        <v>4</v>
      </c>
      <c r="B21" t="s">
        <v>246</v>
      </c>
      <c r="C21" s="54" t="s">
        <v>64</v>
      </c>
      <c r="D21" s="54" t="s">
        <v>376</v>
      </c>
      <c r="E21" s="54"/>
      <c r="F21" s="54" t="s">
        <v>378</v>
      </c>
      <c r="G21" s="54"/>
      <c r="H21" s="54" t="s">
        <v>378</v>
      </c>
      <c r="I21" s="54"/>
      <c r="J21" s="54" t="s">
        <v>77</v>
      </c>
      <c r="K21" s="54"/>
      <c r="L21" s="54" t="s">
        <v>77</v>
      </c>
    </row>
    <row r="22" spans="1:12" x14ac:dyDescent="0.2">
      <c r="A22">
        <v>5</v>
      </c>
      <c r="B22" t="s">
        <v>247</v>
      </c>
      <c r="C22" s="54"/>
      <c r="D22" s="54" t="s">
        <v>78</v>
      </c>
      <c r="E22" s="54"/>
      <c r="F22" s="54" t="s">
        <v>65</v>
      </c>
      <c r="G22" s="54"/>
      <c r="H22" s="54" t="s">
        <v>65</v>
      </c>
      <c r="I22" s="54"/>
      <c r="J22" s="54" t="s">
        <v>150</v>
      </c>
      <c r="K22" s="54"/>
      <c r="L22" s="54" t="s">
        <v>150</v>
      </c>
    </row>
    <row r="23" spans="1:12" x14ac:dyDescent="0.2">
      <c r="A23">
        <v>6</v>
      </c>
      <c r="B23" t="s">
        <v>248</v>
      </c>
      <c r="C23" s="54"/>
      <c r="D23" s="54" t="s">
        <v>377</v>
      </c>
      <c r="E23" s="54"/>
      <c r="F23" s="54" t="s">
        <v>66</v>
      </c>
      <c r="G23" s="54"/>
      <c r="H23" s="54" t="s">
        <v>66</v>
      </c>
      <c r="I23" s="54"/>
      <c r="J23" s="54" t="s">
        <v>151</v>
      </c>
      <c r="K23" s="54"/>
      <c r="L23" s="54" t="s">
        <v>151</v>
      </c>
    </row>
    <row r="24" spans="1:12" x14ac:dyDescent="0.2">
      <c r="A24">
        <v>7</v>
      </c>
      <c r="B24" t="s">
        <v>249</v>
      </c>
      <c r="C24" s="54"/>
      <c r="D24" s="54" t="s">
        <v>378</v>
      </c>
      <c r="E24" s="54"/>
      <c r="F24" s="54" t="s">
        <v>67</v>
      </c>
      <c r="G24" s="54"/>
      <c r="H24" s="54" t="s">
        <v>67</v>
      </c>
      <c r="I24" s="54"/>
      <c r="J24" s="54" t="s">
        <v>78</v>
      </c>
      <c r="K24" s="54"/>
      <c r="L24" s="54" t="s">
        <v>78</v>
      </c>
    </row>
    <row r="25" spans="1:12" x14ac:dyDescent="0.2">
      <c r="A25">
        <v>8</v>
      </c>
      <c r="B25" t="s">
        <v>250</v>
      </c>
      <c r="C25" s="54"/>
      <c r="D25" s="54" t="s">
        <v>65</v>
      </c>
      <c r="E25" s="54"/>
      <c r="F25" s="54" t="s">
        <v>84</v>
      </c>
      <c r="G25" s="54"/>
      <c r="H25" s="54" t="s">
        <v>84</v>
      </c>
      <c r="I25" s="54"/>
      <c r="J25" s="54" t="s">
        <v>80</v>
      </c>
      <c r="K25" s="54"/>
      <c r="L25" s="54" t="s">
        <v>80</v>
      </c>
    </row>
    <row r="26" spans="1:12" x14ac:dyDescent="0.2">
      <c r="A26">
        <v>9</v>
      </c>
      <c r="B26" t="s">
        <v>251</v>
      </c>
      <c r="C26" s="54"/>
      <c r="D26" s="54" t="s">
        <v>66</v>
      </c>
      <c r="E26" s="54"/>
      <c r="F26" s="54" t="s">
        <v>85</v>
      </c>
      <c r="G26" s="54"/>
      <c r="H26" s="54" t="s">
        <v>85</v>
      </c>
      <c r="I26" s="54"/>
      <c r="J26" s="54" t="s">
        <v>79</v>
      </c>
      <c r="K26" s="54"/>
      <c r="L26" s="54" t="s">
        <v>79</v>
      </c>
    </row>
    <row r="27" spans="1:12" x14ac:dyDescent="0.2">
      <c r="A27">
        <v>10</v>
      </c>
      <c r="B27" t="s">
        <v>252</v>
      </c>
      <c r="C27" s="54"/>
      <c r="D27" s="54" t="s">
        <v>67</v>
      </c>
      <c r="E27" s="54"/>
      <c r="F27" s="54" t="s">
        <v>68</v>
      </c>
      <c r="G27" s="54"/>
      <c r="H27" s="54" t="s">
        <v>68</v>
      </c>
      <c r="I27" s="54"/>
      <c r="J27" s="54" t="s">
        <v>65</v>
      </c>
      <c r="K27" s="54"/>
      <c r="L27" s="54" t="s">
        <v>65</v>
      </c>
    </row>
    <row r="28" spans="1:12" x14ac:dyDescent="0.2">
      <c r="A28">
        <v>11</v>
      </c>
      <c r="B28" t="s">
        <v>253</v>
      </c>
      <c r="C28" s="54"/>
      <c r="D28" s="54" t="s">
        <v>84</v>
      </c>
      <c r="E28" s="54"/>
      <c r="F28" s="54" t="s">
        <v>69</v>
      </c>
      <c r="G28" s="54"/>
      <c r="H28" s="54" t="s">
        <v>69</v>
      </c>
      <c r="I28" s="54"/>
      <c r="J28" s="54" t="s">
        <v>66</v>
      </c>
      <c r="K28" s="54"/>
      <c r="L28" s="54" t="s">
        <v>66</v>
      </c>
    </row>
    <row r="29" spans="1:12" x14ac:dyDescent="0.2">
      <c r="A29">
        <v>12</v>
      </c>
      <c r="B29" t="s">
        <v>254</v>
      </c>
      <c r="C29" s="54"/>
      <c r="D29" s="54" t="s">
        <v>85</v>
      </c>
      <c r="E29" s="54"/>
      <c r="F29" s="54" t="s">
        <v>70</v>
      </c>
      <c r="G29" s="54"/>
      <c r="H29" s="54" t="s">
        <v>70</v>
      </c>
      <c r="I29" s="54"/>
      <c r="J29" s="54" t="s">
        <v>152</v>
      </c>
      <c r="K29" s="54"/>
      <c r="L29" s="54" t="s">
        <v>152</v>
      </c>
    </row>
    <row r="30" spans="1:12" x14ac:dyDescent="0.2">
      <c r="A30">
        <v>13</v>
      </c>
      <c r="B30" t="s">
        <v>255</v>
      </c>
      <c r="C30" s="54"/>
      <c r="D30" s="54" t="s">
        <v>68</v>
      </c>
      <c r="E30" s="54"/>
      <c r="F30" s="54" t="s">
        <v>71</v>
      </c>
      <c r="G30" s="54"/>
      <c r="H30" s="54" t="s">
        <v>71</v>
      </c>
      <c r="I30" s="54"/>
      <c r="J30" s="54" t="s">
        <v>84</v>
      </c>
      <c r="K30" s="54"/>
      <c r="L30" s="54" t="s">
        <v>84</v>
      </c>
    </row>
    <row r="31" spans="1:12" x14ac:dyDescent="0.2">
      <c r="A31">
        <v>14</v>
      </c>
      <c r="B31" t="s">
        <v>256</v>
      </c>
      <c r="C31" s="54"/>
      <c r="D31" s="54" t="s">
        <v>69</v>
      </c>
      <c r="E31" s="54"/>
      <c r="F31" s="54" t="s">
        <v>72</v>
      </c>
      <c r="G31" s="54"/>
      <c r="H31" s="54" t="s">
        <v>72</v>
      </c>
      <c r="I31" s="54"/>
      <c r="J31" s="54" t="s">
        <v>85</v>
      </c>
      <c r="K31" s="54"/>
      <c r="L31" s="54" t="s">
        <v>85</v>
      </c>
    </row>
    <row r="32" spans="1:12" x14ac:dyDescent="0.2">
      <c r="A32">
        <v>15</v>
      </c>
      <c r="B32" t="s">
        <v>257</v>
      </c>
      <c r="C32" s="54"/>
      <c r="D32" s="54" t="s">
        <v>70</v>
      </c>
      <c r="I32" s="54"/>
      <c r="J32" s="54" t="s">
        <v>68</v>
      </c>
      <c r="K32" s="54"/>
      <c r="L32" s="54" t="s">
        <v>68</v>
      </c>
    </row>
    <row r="33" spans="1:12" x14ac:dyDescent="0.2">
      <c r="A33">
        <v>16</v>
      </c>
      <c r="B33" t="s">
        <v>258</v>
      </c>
      <c r="C33" s="54"/>
      <c r="D33" s="54" t="s">
        <v>71</v>
      </c>
      <c r="I33" s="54"/>
      <c r="J33" s="54" t="s">
        <v>69</v>
      </c>
      <c r="K33" s="54"/>
      <c r="L33" s="54" t="s">
        <v>69</v>
      </c>
    </row>
    <row r="34" spans="1:12" x14ac:dyDescent="0.2">
      <c r="A34">
        <v>17</v>
      </c>
      <c r="B34" t="s">
        <v>259</v>
      </c>
      <c r="C34" s="54"/>
      <c r="D34" s="54" t="s">
        <v>72</v>
      </c>
      <c r="I34" s="54"/>
      <c r="J34" s="54" t="s">
        <v>70</v>
      </c>
      <c r="K34" s="54"/>
      <c r="L34" s="54" t="s">
        <v>70</v>
      </c>
    </row>
    <row r="35" spans="1:12" x14ac:dyDescent="0.2">
      <c r="A35">
        <v>18</v>
      </c>
      <c r="B35" t="s">
        <v>260</v>
      </c>
      <c r="C35" s="54"/>
      <c r="J35" s="54" t="s">
        <v>71</v>
      </c>
      <c r="L35" s="54" t="s">
        <v>71</v>
      </c>
    </row>
    <row r="36" spans="1:12" x14ac:dyDescent="0.2">
      <c r="A36">
        <v>19</v>
      </c>
      <c r="B36" t="s">
        <v>261</v>
      </c>
      <c r="J36" s="54" t="s">
        <v>72</v>
      </c>
      <c r="L36" s="54" t="s">
        <v>72</v>
      </c>
    </row>
    <row r="37" spans="1:12" x14ac:dyDescent="0.2">
      <c r="A37">
        <v>20</v>
      </c>
      <c r="B37" t="s">
        <v>262</v>
      </c>
      <c r="J37" s="54" t="s">
        <v>153</v>
      </c>
    </row>
    <row r="38" spans="1:12" ht="15" x14ac:dyDescent="0.3">
      <c r="A38">
        <v>21</v>
      </c>
      <c r="B38" t="s">
        <v>263</v>
      </c>
      <c r="J38" s="54" t="s">
        <v>154</v>
      </c>
      <c r="K38" s="51"/>
      <c r="L38" s="51"/>
    </row>
    <row r="39" spans="1:12" ht="15" x14ac:dyDescent="0.3">
      <c r="A39">
        <v>22</v>
      </c>
      <c r="B39" t="s">
        <v>264</v>
      </c>
      <c r="J39" s="54" t="s">
        <v>155</v>
      </c>
      <c r="K39" s="51"/>
      <c r="L39" s="51"/>
    </row>
    <row r="40" spans="1:12" ht="15" x14ac:dyDescent="0.3">
      <c r="A40">
        <v>23</v>
      </c>
      <c r="B40" t="s">
        <v>242</v>
      </c>
      <c r="J40" s="54" t="s">
        <v>156</v>
      </c>
      <c r="K40" s="51"/>
      <c r="L40" s="51"/>
    </row>
    <row r="41" spans="1:12" ht="15" x14ac:dyDescent="0.3">
      <c r="A41">
        <v>24</v>
      </c>
      <c r="B41" t="s">
        <v>265</v>
      </c>
      <c r="H41" s="54"/>
      <c r="K41" s="51"/>
      <c r="L41" s="51"/>
    </row>
    <row r="42" spans="1:12" ht="15" x14ac:dyDescent="0.3">
      <c r="A42">
        <v>25</v>
      </c>
      <c r="B42" t="s">
        <v>266</v>
      </c>
      <c r="H42" s="54"/>
      <c r="K42" s="51"/>
      <c r="L42" s="51"/>
    </row>
    <row r="43" spans="1:12" x14ac:dyDescent="0.2">
      <c r="A43">
        <v>26</v>
      </c>
      <c r="B43" t="s">
        <v>267</v>
      </c>
    </row>
    <row r="44" spans="1:12" x14ac:dyDescent="0.2">
      <c r="A44">
        <v>27</v>
      </c>
      <c r="B44" t="s">
        <v>268</v>
      </c>
    </row>
    <row r="50" spans="1:3" x14ac:dyDescent="0.2">
      <c r="A50">
        <v>1</v>
      </c>
      <c r="B50">
        <v>1</v>
      </c>
      <c r="C50">
        <v>2</v>
      </c>
    </row>
    <row r="51" spans="1:3" x14ac:dyDescent="0.2">
      <c r="A51">
        <v>1</v>
      </c>
      <c r="B51">
        <v>1</v>
      </c>
      <c r="C51">
        <v>2</v>
      </c>
    </row>
    <row r="52" spans="1:3" x14ac:dyDescent="0.2">
      <c r="B52">
        <v>2</v>
      </c>
      <c r="C52">
        <v>2</v>
      </c>
    </row>
    <row r="53" spans="1:3" x14ac:dyDescent="0.2">
      <c r="B53">
        <v>2</v>
      </c>
      <c r="C53">
        <v>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手引き</vt:lpstr>
      <vt:lpstr>申請書表紙</vt:lpstr>
      <vt:lpstr>別紙</vt:lpstr>
      <vt:lpstr>大阪</vt:lpstr>
      <vt:lpstr>名前2</vt:lpstr>
      <vt:lpstr>手引き!Print_Area</vt:lpstr>
      <vt:lpstr>申請書表紙!Print_Area</vt:lpstr>
      <vt:lpstr>大阪!Print_Area</vt:lpstr>
      <vt:lpstr>別紙!Print_Area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