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86DB6D41-A3F3-4149-A655-BA51AA9F4396}" xr6:coauthVersionLast="47" xr6:coauthVersionMax="47" xr10:uidLastSave="{00000000-0000-0000-0000-000000000000}"/>
  <workbookProtection workbookAlgorithmName="SHA-512" workbookHashValue="7ALk5LfsAZ/hg/uepxPJzZKyCqi+PKiNMlRFryeuTlddbUNXvUCuq+IzkN/hF2Fq4PSr7QQlWOfz5OuM/+gmwQ==" workbookSaltValue="aqIOUqfzCFgIer43MzXv1A==" workbookSpinCount="100000" lockStructure="1"/>
  <bookViews>
    <workbookView xWindow="-108" yWindow="-108" windowWidth="23256" windowHeight="12456" xr2:uid="{00000000-000D-0000-FFFF-FFFF00000000}"/>
  </bookViews>
  <sheets>
    <sheet name="手引き" sheetId="21" r:id="rId1"/>
    <sheet name="申請書表紙" sheetId="23" r:id="rId2"/>
    <sheet name="別紙" sheetId="42" r:id="rId3"/>
    <sheet name="大阪" sheetId="3" r:id="rId4"/>
    <sheet name="京都市域" sheetId="4" r:id="rId5"/>
    <sheet name="京都北部" sheetId="5" r:id="rId6"/>
    <sheet name="神戸市域" sheetId="6" r:id="rId7"/>
    <sheet name="兵庫" sheetId="7" r:id="rId8"/>
    <sheet name="奈良" sheetId="80" r:id="rId9"/>
    <sheet name="滋賀" sheetId="12" r:id="rId10"/>
    <sheet name="和歌山" sheetId="13" r:id="rId11"/>
    <sheet name="名前2" sheetId="22" state="hidden" r:id="rId12"/>
  </sheets>
  <definedNames>
    <definedName name="_xlnm.Print_Area" localSheetId="4">京都市域!$A$1:$S$30</definedName>
    <definedName name="_xlnm.Print_Area" localSheetId="5">京都北部!$A$1:$S$26</definedName>
    <definedName name="_xlnm.Print_Area" localSheetId="9">滋賀!$A$1:$T$38</definedName>
    <definedName name="_xlnm.Print_Area" localSheetId="0">手引き!$A$1:$K$101</definedName>
    <definedName name="_xlnm.Print_Area" localSheetId="1">申請書表紙!$A$1:$I$48</definedName>
    <definedName name="_xlnm.Print_Area" localSheetId="6">神戸市域!$A$1:$S$37</definedName>
    <definedName name="_xlnm.Print_Area" localSheetId="3">大阪!$A$1:$S$33</definedName>
    <definedName name="_xlnm.Print_Area" localSheetId="8">奈良!$A$1:$S$35</definedName>
    <definedName name="_xlnm.Print_Area" localSheetId="7">兵庫!$A$1:$S$40</definedName>
    <definedName name="_xlnm.Print_Area" localSheetId="2">別紙!$A$1:$T$179</definedName>
    <definedName name="_xlnm.Print_Area" localSheetId="10">和歌山!$A$1:$S$47</definedName>
    <definedName name="_xlnm.Print_Titles" localSheetId="4">京都市域!$2:$4</definedName>
    <definedName name="_xlnm.Print_Titles" localSheetId="5">京都北部!$2:$4</definedName>
    <definedName name="_xlnm.Print_Titles" localSheetId="9">滋賀!$2:$4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5" i="3" l="1"/>
  <c r="AB22" i="4"/>
  <c r="AB22" i="5"/>
  <c r="AB25" i="6"/>
  <c r="AB21" i="7"/>
  <c r="AB22" i="80"/>
  <c r="AB22" i="12"/>
  <c r="AC36" i="13"/>
  <c r="AB22" i="13"/>
  <c r="AC9" i="5"/>
  <c r="E70" i="21"/>
  <c r="Q24" i="21" l="1"/>
  <c r="M26" i="21"/>
  <c r="Q35" i="21"/>
  <c r="Q30" i="21"/>
  <c r="R30" i="21"/>
  <c r="R28" i="21"/>
  <c r="U28" i="21"/>
  <c r="R35" i="21"/>
  <c r="Q29" i="21"/>
  <c r="P30" i="21"/>
  <c r="R29" i="21"/>
  <c r="Q28" i="21"/>
  <c r="U30" i="21"/>
  <c r="U29" i="21"/>
  <c r="P29" i="21"/>
  <c r="P28" i="21"/>
  <c r="U35" i="21"/>
  <c r="M43" i="21" l="1"/>
  <c r="N43" i="21"/>
  <c r="Q43" i="21"/>
  <c r="J40" i="21"/>
  <c r="Q32" i="13" l="1"/>
  <c r="Q31" i="13"/>
  <c r="Q30" i="13"/>
  <c r="Q29" i="13"/>
  <c r="Q28" i="13"/>
  <c r="Q27" i="13"/>
  <c r="Q11" i="13"/>
  <c r="Q16" i="13"/>
  <c r="E32" i="13"/>
  <c r="E31" i="13"/>
  <c r="E30" i="13"/>
  <c r="E29" i="13"/>
  <c r="E28" i="13"/>
  <c r="E27" i="13"/>
  <c r="E16" i="13" s="1"/>
  <c r="I16" i="13" s="1"/>
  <c r="K16" i="13" s="1"/>
  <c r="E26" i="13"/>
  <c r="E25" i="13"/>
  <c r="E24" i="13"/>
  <c r="Q26" i="13"/>
  <c r="Q25" i="13"/>
  <c r="Q24" i="13"/>
  <c r="Q12" i="13"/>
  <c r="Q10" i="13"/>
  <c r="A20" i="7"/>
  <c r="M47" i="21"/>
  <c r="O8" i="7"/>
  <c r="A8" i="7"/>
  <c r="A22" i="13"/>
  <c r="O22" i="13"/>
  <c r="O36" i="13"/>
  <c r="A36" i="13"/>
  <c r="O8" i="13"/>
  <c r="A8" i="13"/>
  <c r="O32" i="7"/>
  <c r="A32" i="7"/>
  <c r="O20" i="7"/>
  <c r="X39" i="7"/>
  <c r="U39" i="7"/>
  <c r="X38" i="7"/>
  <c r="U38" i="7"/>
  <c r="X37" i="7"/>
  <c r="U37" i="7"/>
  <c r="X36" i="7"/>
  <c r="U36" i="7"/>
  <c r="X35" i="7"/>
  <c r="U35" i="7"/>
  <c r="X34" i="7"/>
  <c r="U34" i="7"/>
  <c r="Y33" i="7"/>
  <c r="X33" i="7"/>
  <c r="V33" i="7"/>
  <c r="U33" i="7"/>
  <c r="U23" i="7"/>
  <c r="X23" i="7"/>
  <c r="U24" i="7"/>
  <c r="X24" i="7"/>
  <c r="U25" i="7"/>
  <c r="X25" i="7"/>
  <c r="U26" i="7"/>
  <c r="X26" i="7"/>
  <c r="U27" i="7"/>
  <c r="X27" i="7"/>
  <c r="U28" i="7"/>
  <c r="X28" i="7"/>
  <c r="X22" i="7"/>
  <c r="U22" i="7"/>
  <c r="Y21" i="7"/>
  <c r="X21" i="7"/>
  <c r="V21" i="7"/>
  <c r="U21" i="7"/>
  <c r="U12" i="7"/>
  <c r="X12" i="7"/>
  <c r="U13" i="7"/>
  <c r="X13" i="7"/>
  <c r="U14" i="7"/>
  <c r="X14" i="7"/>
  <c r="U15" i="7"/>
  <c r="X15" i="7"/>
  <c r="U16" i="7"/>
  <c r="X16" i="7"/>
  <c r="C34" i="7"/>
  <c r="C35" i="7" s="1"/>
  <c r="I33" i="7"/>
  <c r="K33" i="7" s="1"/>
  <c r="E23" i="7"/>
  <c r="I23" i="7" s="1"/>
  <c r="K23" i="7" s="1"/>
  <c r="C22" i="7"/>
  <c r="C23" i="7" s="1"/>
  <c r="C24" i="7" s="1"/>
  <c r="C25" i="7" s="1"/>
  <c r="C26" i="7" s="1"/>
  <c r="C27" i="7" s="1"/>
  <c r="C28" i="7" s="1"/>
  <c r="I21" i="7"/>
  <c r="K21" i="7" s="1"/>
  <c r="E12" i="7"/>
  <c r="C10" i="7"/>
  <c r="C11" i="7" s="1"/>
  <c r="I9" i="7"/>
  <c r="K9" i="7" s="1"/>
  <c r="Q23" i="7"/>
  <c r="Q14" i="7" s="1"/>
  <c r="V14" i="7" s="1"/>
  <c r="Q12" i="7"/>
  <c r="V12" i="7" s="1"/>
  <c r="U12" i="13"/>
  <c r="V12" i="13"/>
  <c r="X12" i="13"/>
  <c r="Y12" i="13"/>
  <c r="U13" i="13"/>
  <c r="X13" i="13"/>
  <c r="U14" i="13"/>
  <c r="X14" i="13"/>
  <c r="U16" i="13"/>
  <c r="X16" i="13"/>
  <c r="Y17" i="13"/>
  <c r="U18" i="13"/>
  <c r="V18" i="13"/>
  <c r="X18" i="13"/>
  <c r="V9" i="13"/>
  <c r="V23" i="13"/>
  <c r="Q18" i="13"/>
  <c r="Y18" i="13" s="1"/>
  <c r="Q17" i="13"/>
  <c r="V17" i="13" s="1"/>
  <c r="E18" i="13"/>
  <c r="E17" i="13"/>
  <c r="I17" i="13" s="1"/>
  <c r="K17" i="13" s="1"/>
  <c r="E12" i="13"/>
  <c r="C10" i="13"/>
  <c r="C11" i="13" s="1"/>
  <c r="I9" i="13"/>
  <c r="K9" i="13" s="1"/>
  <c r="U30" i="13"/>
  <c r="X30" i="13"/>
  <c r="U31" i="13"/>
  <c r="X31" i="13"/>
  <c r="U32" i="13"/>
  <c r="X32" i="13"/>
  <c r="C24" i="13"/>
  <c r="C25" i="13" s="1"/>
  <c r="I23" i="13"/>
  <c r="K23" i="13" s="1"/>
  <c r="C38" i="13"/>
  <c r="Q38" i="13" s="1"/>
  <c r="Y37" i="13"/>
  <c r="V37" i="13"/>
  <c r="X46" i="13"/>
  <c r="X45" i="13"/>
  <c r="X44" i="13"/>
  <c r="X43" i="13"/>
  <c r="X42" i="13"/>
  <c r="X41" i="13"/>
  <c r="U42" i="13"/>
  <c r="U43" i="13"/>
  <c r="U44" i="13"/>
  <c r="U45" i="13"/>
  <c r="U46" i="13"/>
  <c r="I37" i="13"/>
  <c r="K37" i="13" s="1"/>
  <c r="U37" i="21"/>
  <c r="P37" i="21"/>
  <c r="R31" i="21"/>
  <c r="Q31" i="21"/>
  <c r="R37" i="21"/>
  <c r="U31" i="21"/>
  <c r="P31" i="21"/>
  <c r="Q37" i="21"/>
  <c r="Y16" i="13" l="1"/>
  <c r="V16" i="13"/>
  <c r="V23" i="7"/>
  <c r="Y23" i="7"/>
  <c r="Y12" i="7"/>
  <c r="Y14" i="7"/>
  <c r="Q22" i="7"/>
  <c r="Q34" i="7"/>
  <c r="E22" i="7"/>
  <c r="I22" i="7" s="1"/>
  <c r="K22" i="7" s="1"/>
  <c r="E14" i="7"/>
  <c r="I14" i="7" s="1"/>
  <c r="K14" i="7" s="1"/>
  <c r="E11" i="7"/>
  <c r="Q11" i="7"/>
  <c r="C12" i="7"/>
  <c r="C13" i="7" s="1"/>
  <c r="C14" i="7" s="1"/>
  <c r="C15" i="7" s="1"/>
  <c r="C16" i="7" s="1"/>
  <c r="E35" i="7"/>
  <c r="Q35" i="7"/>
  <c r="C36" i="7"/>
  <c r="E10" i="7"/>
  <c r="E34" i="7"/>
  <c r="I12" i="7"/>
  <c r="K12" i="7" s="1"/>
  <c r="Q10" i="7"/>
  <c r="C12" i="13"/>
  <c r="C13" i="13" s="1"/>
  <c r="C14" i="13" s="1"/>
  <c r="C15" i="13" s="1"/>
  <c r="C16" i="13" s="1"/>
  <c r="C17" i="13" s="1"/>
  <c r="C18" i="13" s="1"/>
  <c r="E11" i="13"/>
  <c r="E10" i="13"/>
  <c r="I12" i="13"/>
  <c r="K12" i="13" s="1"/>
  <c r="I18" i="13"/>
  <c r="K18" i="13" s="1"/>
  <c r="C26" i="13"/>
  <c r="C27" i="13" s="1"/>
  <c r="C28" i="13" s="1"/>
  <c r="C29" i="13" s="1"/>
  <c r="C30" i="13" s="1"/>
  <c r="C31" i="13" s="1"/>
  <c r="C32" i="13" s="1"/>
  <c r="I27" i="13"/>
  <c r="K27" i="13" s="1"/>
  <c r="C39" i="13"/>
  <c r="E38" i="13"/>
  <c r="I28" i="13" s="1"/>
  <c r="K28" i="13" s="1"/>
  <c r="Q25" i="7" l="1"/>
  <c r="Y35" i="7"/>
  <c r="V35" i="7"/>
  <c r="Q13" i="7"/>
  <c r="Y22" i="7"/>
  <c r="V22" i="7"/>
  <c r="Q24" i="7"/>
  <c r="Y34" i="7"/>
  <c r="V34" i="7"/>
  <c r="E13" i="7"/>
  <c r="I13" i="7" s="1"/>
  <c r="K13" i="7" s="1"/>
  <c r="E24" i="7"/>
  <c r="I34" i="7"/>
  <c r="K34" i="7" s="1"/>
  <c r="I35" i="7"/>
  <c r="K35" i="7" s="1"/>
  <c r="E25" i="7"/>
  <c r="I10" i="7"/>
  <c r="K10" i="7" s="1"/>
  <c r="Q36" i="7"/>
  <c r="E36" i="7"/>
  <c r="C37" i="7"/>
  <c r="I11" i="7"/>
  <c r="K11" i="7" s="1"/>
  <c r="I10" i="13"/>
  <c r="K10" i="13" s="1"/>
  <c r="I11" i="13"/>
  <c r="K11" i="13" s="1"/>
  <c r="E39" i="13"/>
  <c r="I29" i="13" s="1"/>
  <c r="K29" i="13" s="1"/>
  <c r="C40" i="13"/>
  <c r="Q39" i="13"/>
  <c r="Q15" i="7" l="1"/>
  <c r="V24" i="7"/>
  <c r="Y24" i="7"/>
  <c r="Q26" i="7"/>
  <c r="Y36" i="7"/>
  <c r="V36" i="7"/>
  <c r="V13" i="7"/>
  <c r="Y13" i="7"/>
  <c r="Q16" i="7"/>
  <c r="V25" i="7"/>
  <c r="Y25" i="7"/>
  <c r="E26" i="7"/>
  <c r="I36" i="7"/>
  <c r="K36" i="7" s="1"/>
  <c r="I25" i="7"/>
  <c r="K25" i="7" s="1"/>
  <c r="E16" i="7"/>
  <c r="C38" i="7"/>
  <c r="Q37" i="7"/>
  <c r="E37" i="7"/>
  <c r="I24" i="7"/>
  <c r="K24" i="7" s="1"/>
  <c r="E15" i="7"/>
  <c r="E40" i="13"/>
  <c r="I30" i="13" s="1"/>
  <c r="K30" i="13" s="1"/>
  <c r="C41" i="13"/>
  <c r="Q40" i="13"/>
  <c r="Q27" i="7" l="1"/>
  <c r="Y37" i="7"/>
  <c r="V37" i="7"/>
  <c r="V26" i="7"/>
  <c r="Y26" i="7"/>
  <c r="V16" i="7"/>
  <c r="Y16" i="7"/>
  <c r="V15" i="7"/>
  <c r="Y15" i="7"/>
  <c r="I15" i="7"/>
  <c r="K15" i="7" s="1"/>
  <c r="I16" i="7"/>
  <c r="K16" i="7" s="1"/>
  <c r="I37" i="7"/>
  <c r="K37" i="7" s="1"/>
  <c r="E27" i="7"/>
  <c r="I26" i="7"/>
  <c r="K26" i="7" s="1"/>
  <c r="C39" i="7"/>
  <c r="E38" i="7"/>
  <c r="Q38" i="7"/>
  <c r="V30" i="13"/>
  <c r="Y30" i="13"/>
  <c r="E41" i="13"/>
  <c r="I31" i="13" s="1"/>
  <c r="K31" i="13" s="1"/>
  <c r="C42" i="13"/>
  <c r="Q41" i="13"/>
  <c r="AC44" i="6"/>
  <c r="AC43" i="6"/>
  <c r="AC42" i="6"/>
  <c r="AC41" i="6"/>
  <c r="AC40" i="6"/>
  <c r="AC39" i="6"/>
  <c r="AC38" i="6"/>
  <c r="AC37" i="6"/>
  <c r="AC36" i="6"/>
  <c r="AC35" i="6"/>
  <c r="AC34" i="6"/>
  <c r="AC33" i="6"/>
  <c r="AC32" i="6"/>
  <c r="AC31" i="6"/>
  <c r="AC30" i="6"/>
  <c r="AC29" i="6"/>
  <c r="AC28" i="6"/>
  <c r="AC27" i="6"/>
  <c r="AC26" i="6"/>
  <c r="AC25" i="6"/>
  <c r="AC24" i="6"/>
  <c r="AC23" i="6"/>
  <c r="AC22" i="6"/>
  <c r="AC21" i="6"/>
  <c r="AC20" i="6"/>
  <c r="AC19" i="6"/>
  <c r="AC18" i="6"/>
  <c r="AC17" i="6"/>
  <c r="AC16" i="6"/>
  <c r="AC15" i="6"/>
  <c r="AB15" i="6"/>
  <c r="AC14" i="6"/>
  <c r="AC13" i="6"/>
  <c r="AC12" i="6"/>
  <c r="AC11" i="6"/>
  <c r="AC10" i="6"/>
  <c r="AC9" i="6"/>
  <c r="AB9" i="6"/>
  <c r="AC8" i="6"/>
  <c r="AC7" i="6"/>
  <c r="AC6" i="6"/>
  <c r="AB6" i="6"/>
  <c r="AB15" i="3"/>
  <c r="AB6" i="4"/>
  <c r="AB9" i="4"/>
  <c r="AB12" i="4"/>
  <c r="AB24" i="4"/>
  <c r="AB6" i="5"/>
  <c r="AB9" i="5"/>
  <c r="AB12" i="5"/>
  <c r="AB24" i="5"/>
  <c r="Q28" i="7" l="1"/>
  <c r="Y38" i="7"/>
  <c r="V38" i="7"/>
  <c r="V27" i="7"/>
  <c r="Y27" i="7"/>
  <c r="I38" i="7"/>
  <c r="K38" i="7" s="1"/>
  <c r="E28" i="7"/>
  <c r="I27" i="7"/>
  <c r="K27" i="7" s="1"/>
  <c r="E39" i="7"/>
  <c r="Q39" i="7"/>
  <c r="V31" i="13"/>
  <c r="Y31" i="13"/>
  <c r="E42" i="13"/>
  <c r="I32" i="13" s="1"/>
  <c r="K32" i="13" s="1"/>
  <c r="C43" i="13"/>
  <c r="Q42" i="13"/>
  <c r="AB6" i="3"/>
  <c r="Q29" i="4"/>
  <c r="Q28" i="4"/>
  <c r="Q27"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8" i="3"/>
  <c r="AC6" i="3"/>
  <c r="C10" i="3"/>
  <c r="C11" i="3" s="1"/>
  <c r="C12" i="3" s="1"/>
  <c r="C13" i="3" s="1"/>
  <c r="C14" i="3" s="1"/>
  <c r="Y39" i="7" l="1"/>
  <c r="V39" i="7"/>
  <c r="V28" i="7"/>
  <c r="Y28" i="7"/>
  <c r="I28" i="7"/>
  <c r="K28" i="7" s="1"/>
  <c r="I39" i="7"/>
  <c r="K39" i="7" s="1"/>
  <c r="V32" i="13"/>
  <c r="Y32" i="13"/>
  <c r="Q43" i="13"/>
  <c r="E43" i="13"/>
  <c r="C44" i="13"/>
  <c r="Y25" i="12"/>
  <c r="Y24" i="12"/>
  <c r="Y23" i="12"/>
  <c r="V25" i="12"/>
  <c r="V23" i="12"/>
  <c r="V24" i="12"/>
  <c r="V22" i="12"/>
  <c r="Y37" i="12"/>
  <c r="Y36" i="12"/>
  <c r="Y35" i="12"/>
  <c r="Y34" i="12"/>
  <c r="V36" i="12"/>
  <c r="V35" i="12"/>
  <c r="V34" i="12"/>
  <c r="Y14" i="12"/>
  <c r="Y13" i="12"/>
  <c r="Y12" i="12"/>
  <c r="Y15" i="12"/>
  <c r="V14" i="12"/>
  <c r="V13" i="12"/>
  <c r="V12" i="12"/>
  <c r="Y33" i="12"/>
  <c r="Q14" i="80"/>
  <c r="Q13" i="80"/>
  <c r="Q12" i="80"/>
  <c r="Y12" i="80" s="1"/>
  <c r="Q11" i="80"/>
  <c r="A28" i="80"/>
  <c r="O28" i="80"/>
  <c r="O18" i="80"/>
  <c r="Q34" i="80"/>
  <c r="Q33" i="80"/>
  <c r="Q32" i="80"/>
  <c r="Q31" i="80"/>
  <c r="Q30" i="80"/>
  <c r="Y30" i="80" s="1"/>
  <c r="M34" i="80"/>
  <c r="G34" i="80"/>
  <c r="M33" i="80"/>
  <c r="G33" i="80"/>
  <c r="M32" i="80"/>
  <c r="M31" i="80"/>
  <c r="G31" i="80"/>
  <c r="C31" i="80"/>
  <c r="C32" i="80" s="1"/>
  <c r="M30" i="80"/>
  <c r="G30" i="80"/>
  <c r="E30" i="80"/>
  <c r="I30" i="80" s="1"/>
  <c r="K30" i="80" s="1"/>
  <c r="C30" i="80"/>
  <c r="M29" i="80"/>
  <c r="I29" i="80"/>
  <c r="K29" i="80" s="1"/>
  <c r="Q23" i="80"/>
  <c r="Q24" i="80" s="1"/>
  <c r="Q21" i="80"/>
  <c r="V21" i="80" s="1"/>
  <c r="Q20" i="80"/>
  <c r="M24" i="80"/>
  <c r="G24" i="80"/>
  <c r="M23" i="80"/>
  <c r="G23" i="80"/>
  <c r="M22" i="80"/>
  <c r="M21" i="80"/>
  <c r="G21" i="80"/>
  <c r="E21" i="80"/>
  <c r="C21" i="80"/>
  <c r="C22" i="80" s="1"/>
  <c r="C23" i="80" s="1"/>
  <c r="M20" i="80"/>
  <c r="G20" i="80"/>
  <c r="C20" i="80"/>
  <c r="E20" i="80" s="1"/>
  <c r="M19" i="80"/>
  <c r="I19" i="80"/>
  <c r="K19" i="80" s="1"/>
  <c r="Q10" i="80"/>
  <c r="M14" i="80"/>
  <c r="I14" i="80"/>
  <c r="K14" i="80" s="1"/>
  <c r="G14" i="80"/>
  <c r="M13" i="80"/>
  <c r="G13" i="80"/>
  <c r="M12" i="80"/>
  <c r="I12" i="80"/>
  <c r="K12" i="80" s="1"/>
  <c r="M11" i="80"/>
  <c r="G11" i="80"/>
  <c r="M10" i="80"/>
  <c r="G10" i="80"/>
  <c r="E10" i="80"/>
  <c r="C10" i="80"/>
  <c r="C11" i="80" s="1"/>
  <c r="M9" i="80"/>
  <c r="K9" i="80"/>
  <c r="I9" i="80"/>
  <c r="AC44" i="80"/>
  <c r="AC43" i="80"/>
  <c r="AC42" i="80"/>
  <c r="AC41" i="80"/>
  <c r="AC40" i="80"/>
  <c r="AC39" i="80"/>
  <c r="AC38" i="80"/>
  <c r="AC37" i="80"/>
  <c r="C37" i="80"/>
  <c r="AC36" i="80"/>
  <c r="AC35" i="80"/>
  <c r="AC34" i="80"/>
  <c r="X34" i="80"/>
  <c r="U34" i="80"/>
  <c r="AC33" i="80"/>
  <c r="X33" i="80"/>
  <c r="U33" i="80"/>
  <c r="AC32" i="80"/>
  <c r="X32" i="80"/>
  <c r="U32" i="80"/>
  <c r="AC31" i="80"/>
  <c r="X31" i="80"/>
  <c r="U31" i="80"/>
  <c r="AC30" i="80"/>
  <c r="X30" i="80"/>
  <c r="U30" i="80"/>
  <c r="AC29" i="80"/>
  <c r="Y29" i="80"/>
  <c r="X29" i="80"/>
  <c r="V29" i="80"/>
  <c r="U29" i="80"/>
  <c r="AC28" i="80"/>
  <c r="AC27" i="80"/>
  <c r="AC26" i="80"/>
  <c r="AC25" i="80"/>
  <c r="AC24" i="80"/>
  <c r="AB24" i="80"/>
  <c r="X24" i="80"/>
  <c r="U24" i="80"/>
  <c r="AC23" i="80"/>
  <c r="X23" i="80"/>
  <c r="U23" i="80"/>
  <c r="AC22" i="80"/>
  <c r="X22" i="80"/>
  <c r="U22" i="80"/>
  <c r="Y22" i="80"/>
  <c r="AC21" i="80"/>
  <c r="X21" i="80"/>
  <c r="U21" i="80"/>
  <c r="AC20" i="80"/>
  <c r="X20" i="80"/>
  <c r="U20" i="80"/>
  <c r="AC19" i="80"/>
  <c r="Y19" i="80"/>
  <c r="X19" i="80"/>
  <c r="V19" i="80"/>
  <c r="U19" i="80"/>
  <c r="AC18" i="80"/>
  <c r="A18" i="80"/>
  <c r="AC17" i="80"/>
  <c r="AC16" i="80"/>
  <c r="AC15" i="80"/>
  <c r="AC14" i="80"/>
  <c r="X14" i="80"/>
  <c r="U14" i="80"/>
  <c r="AC13" i="80"/>
  <c r="X13" i="80"/>
  <c r="U13" i="80"/>
  <c r="AC12" i="80"/>
  <c r="AB12" i="80"/>
  <c r="X12" i="80"/>
  <c r="U12" i="80"/>
  <c r="AC11" i="80"/>
  <c r="X11" i="80"/>
  <c r="U11" i="80"/>
  <c r="AC10" i="80"/>
  <c r="X10" i="80"/>
  <c r="U10" i="80"/>
  <c r="AC9" i="80"/>
  <c r="AB9" i="80"/>
  <c r="Y9" i="80"/>
  <c r="X9" i="80"/>
  <c r="V9" i="80"/>
  <c r="U9" i="80"/>
  <c r="AC8" i="80"/>
  <c r="O8" i="80"/>
  <c r="A8" i="80"/>
  <c r="AC7" i="80"/>
  <c r="AC6" i="80"/>
  <c r="AB6" i="80"/>
  <c r="H5" i="80"/>
  <c r="P35" i="21"/>
  <c r="C45" i="13" l="1"/>
  <c r="Q44" i="13"/>
  <c r="E44" i="13"/>
  <c r="V12" i="80"/>
  <c r="Y21" i="80"/>
  <c r="E32" i="80"/>
  <c r="C33" i="80"/>
  <c r="V30" i="80"/>
  <c r="E31" i="80"/>
  <c r="K20" i="80"/>
  <c r="I20" i="80"/>
  <c r="C24" i="80"/>
  <c r="E23" i="80"/>
  <c r="E22" i="80"/>
  <c r="I21" i="80"/>
  <c r="K21" i="80"/>
  <c r="E24" i="80"/>
  <c r="E11" i="80"/>
  <c r="C12" i="80"/>
  <c r="C13" i="80" s="1"/>
  <c r="I10" i="80"/>
  <c r="K10" i="80" s="1"/>
  <c r="Y10" i="80"/>
  <c r="Y20" i="80"/>
  <c r="V20" i="80"/>
  <c r="V10" i="80"/>
  <c r="V22" i="80"/>
  <c r="V9" i="4"/>
  <c r="A25" i="4"/>
  <c r="O25" i="4"/>
  <c r="A17" i="4"/>
  <c r="O17" i="4"/>
  <c r="O8" i="4"/>
  <c r="A8" i="4"/>
  <c r="Q20" i="4"/>
  <c r="Q13" i="4" s="1"/>
  <c r="V13" i="4" s="1"/>
  <c r="Q11" i="4"/>
  <c r="Y11" i="4" s="1"/>
  <c r="I26" i="4"/>
  <c r="K26" i="4" s="1"/>
  <c r="E20" i="4"/>
  <c r="I20" i="4" s="1"/>
  <c r="C20" i="4"/>
  <c r="C21" i="4" s="1"/>
  <c r="C19" i="4"/>
  <c r="Q19" i="4" s="1"/>
  <c r="I18" i="4"/>
  <c r="K18" i="4" s="1"/>
  <c r="E11" i="4"/>
  <c r="C10" i="4"/>
  <c r="C11" i="4" s="1"/>
  <c r="C12" i="4" s="1"/>
  <c r="C13" i="4" s="1"/>
  <c r="I9" i="4"/>
  <c r="K9" i="4" s="1"/>
  <c r="C46" i="13" l="1"/>
  <c r="E45" i="13"/>
  <c r="Q45" i="13"/>
  <c r="E19" i="4"/>
  <c r="Y20" i="4"/>
  <c r="Y13" i="4"/>
  <c r="Q10" i="4"/>
  <c r="V10" i="4" s="1"/>
  <c r="E10" i="4"/>
  <c r="V11" i="4"/>
  <c r="Y19" i="4"/>
  <c r="V19" i="4"/>
  <c r="V20" i="4"/>
  <c r="C34" i="80"/>
  <c r="E34" i="80" s="1"/>
  <c r="E33" i="80"/>
  <c r="I31" i="80"/>
  <c r="K31" i="80" s="1"/>
  <c r="I32" i="80"/>
  <c r="K32" i="80" s="1"/>
  <c r="I24" i="80"/>
  <c r="K24" i="80" s="1"/>
  <c r="I22" i="80"/>
  <c r="K22" i="80" s="1"/>
  <c r="I23" i="80"/>
  <c r="K23" i="80" s="1"/>
  <c r="C14" i="80"/>
  <c r="E13" i="80"/>
  <c r="I11" i="80"/>
  <c r="K11" i="80" s="1"/>
  <c r="Y13" i="80"/>
  <c r="V13" i="80"/>
  <c r="V11" i="80"/>
  <c r="Y11" i="80"/>
  <c r="Y31" i="80"/>
  <c r="V31" i="80"/>
  <c r="Y14" i="80"/>
  <c r="V14" i="80"/>
  <c r="E13" i="4"/>
  <c r="I13" i="4" s="1"/>
  <c r="C27" i="4"/>
  <c r="K20" i="4"/>
  <c r="I11" i="4"/>
  <c r="K11" i="4" s="1"/>
  <c r="Q46" i="13" l="1"/>
  <c r="E46" i="13"/>
  <c r="Y10" i="4"/>
  <c r="E27" i="4"/>
  <c r="K13" i="4"/>
  <c r="I33" i="80"/>
  <c r="K33" i="80" s="1"/>
  <c r="I34" i="80"/>
  <c r="K34" i="80" s="1"/>
  <c r="I13" i="80"/>
  <c r="K13" i="80" s="1"/>
  <c r="Y32" i="80"/>
  <c r="V32" i="80"/>
  <c r="Y23" i="80"/>
  <c r="V23" i="80"/>
  <c r="C28" i="4"/>
  <c r="Y27" i="4" l="1"/>
  <c r="V27" i="4"/>
  <c r="E28" i="4"/>
  <c r="Y24" i="80"/>
  <c r="V24" i="80"/>
  <c r="V33" i="80"/>
  <c r="Y33" i="80"/>
  <c r="C29" i="4"/>
  <c r="E29" i="4" l="1"/>
  <c r="Y28" i="4"/>
  <c r="V28" i="4"/>
  <c r="Y34" i="80"/>
  <c r="V34" i="80"/>
  <c r="Y29" i="4" l="1"/>
  <c r="V29" i="4"/>
  <c r="X152" i="42" l="1"/>
  <c r="O30" i="12" l="1"/>
  <c r="X153" i="42" l="1"/>
  <c r="O8" i="12" l="1"/>
  <c r="U36" i="21"/>
  <c r="B126" i="42" l="1"/>
  <c r="B127" i="42"/>
  <c r="U158" i="42"/>
  <c r="U153" i="42"/>
  <c r="U157" i="42"/>
  <c r="B45" i="23" l="1"/>
  <c r="Q51" i="21" l="1"/>
  <c r="B41" i="23"/>
  <c r="E48" i="23" l="1"/>
  <c r="H51" i="21" l="1"/>
  <c r="R65" i="42" l="1"/>
  <c r="D65" i="42" s="1"/>
  <c r="R64" i="42"/>
  <c r="R63" i="42"/>
  <c r="D63" i="42" s="1"/>
  <c r="G64" i="42" l="1"/>
  <c r="I64" i="42"/>
  <c r="H64" i="42"/>
  <c r="D64" i="42"/>
  <c r="H5" i="4"/>
  <c r="AC37" i="13" l="1"/>
  <c r="AC35" i="13"/>
  <c r="AC34" i="13"/>
  <c r="AC33" i="13"/>
  <c r="AC32" i="13"/>
  <c r="AC31" i="13"/>
  <c r="AC30" i="13"/>
  <c r="AC29" i="13"/>
  <c r="AC27" i="13"/>
  <c r="AC26" i="13"/>
  <c r="AC25" i="13"/>
  <c r="AC24" i="13"/>
  <c r="AB24" i="13"/>
  <c r="AC23" i="13"/>
  <c r="AC22" i="13"/>
  <c r="AC21" i="13"/>
  <c r="AC20" i="13"/>
  <c r="AC19" i="13"/>
  <c r="AC18" i="13"/>
  <c r="AC17" i="13"/>
  <c r="AC16" i="13"/>
  <c r="AC15" i="13"/>
  <c r="AC14" i="13"/>
  <c r="AC13" i="13"/>
  <c r="AC12" i="13"/>
  <c r="AB12" i="13"/>
  <c r="AC11" i="13"/>
  <c r="AC10" i="13"/>
  <c r="AC9" i="13"/>
  <c r="AB9" i="13"/>
  <c r="AC8" i="13"/>
  <c r="AC7" i="13"/>
  <c r="AC6" i="13"/>
  <c r="AB6" i="13"/>
  <c r="AC41" i="7"/>
  <c r="AC32" i="7"/>
  <c r="AC31" i="7"/>
  <c r="AC30" i="7"/>
  <c r="AC29" i="7"/>
  <c r="AC28" i="7"/>
  <c r="AC27" i="7"/>
  <c r="AC26" i="7"/>
  <c r="AC25" i="7"/>
  <c r="AC24" i="7"/>
  <c r="AC23" i="7"/>
  <c r="AC22" i="7"/>
  <c r="AB22" i="7"/>
  <c r="AC21" i="7"/>
  <c r="AC20" i="7"/>
  <c r="AC19" i="7"/>
  <c r="AC18" i="7"/>
  <c r="AC17" i="7"/>
  <c r="AC16" i="7"/>
  <c r="AC15" i="7"/>
  <c r="AC14" i="7"/>
  <c r="AC13" i="7"/>
  <c r="AC12" i="7"/>
  <c r="AB12" i="7"/>
  <c r="AC11" i="7"/>
  <c r="AC10" i="7"/>
  <c r="AC9" i="7"/>
  <c r="AB9" i="7"/>
  <c r="AC8" i="7"/>
  <c r="AC7" i="7"/>
  <c r="AC6" i="7"/>
  <c r="AB6" i="7"/>
  <c r="AC44" i="12"/>
  <c r="AC43" i="12"/>
  <c r="AC42" i="12"/>
  <c r="AC41" i="12"/>
  <c r="AC40" i="12"/>
  <c r="AC39" i="12"/>
  <c r="AC38" i="12"/>
  <c r="AC37" i="12"/>
  <c r="AC36" i="12"/>
  <c r="AC35" i="12"/>
  <c r="AC34" i="12"/>
  <c r="AC33" i="12"/>
  <c r="AC32" i="12"/>
  <c r="AC31" i="12"/>
  <c r="AC30" i="12"/>
  <c r="AC29" i="12"/>
  <c r="AC28" i="12"/>
  <c r="AC27" i="12"/>
  <c r="AC26" i="12"/>
  <c r="AC25" i="12"/>
  <c r="AC24" i="12"/>
  <c r="AB27" i="12"/>
  <c r="AC23" i="12"/>
  <c r="AC22" i="12"/>
  <c r="AC21" i="12"/>
  <c r="AC20" i="12"/>
  <c r="AC19" i="12"/>
  <c r="AC18" i="12"/>
  <c r="AC17" i="12"/>
  <c r="AC16" i="12"/>
  <c r="AC15" i="12"/>
  <c r="AC14" i="12"/>
  <c r="AC13" i="12"/>
  <c r="AC12" i="12"/>
  <c r="AB12" i="12"/>
  <c r="AC11" i="12"/>
  <c r="AC10" i="12"/>
  <c r="AC9" i="12"/>
  <c r="AB9" i="12"/>
  <c r="AC8" i="12"/>
  <c r="AC7" i="12"/>
  <c r="AC6" i="12"/>
  <c r="AB6" i="12"/>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7" i="5"/>
  <c r="AC16" i="5"/>
  <c r="AC15" i="5"/>
  <c r="AC14" i="5"/>
  <c r="AC13" i="5"/>
  <c r="AC12" i="5"/>
  <c r="AC11" i="5"/>
  <c r="AC10" i="5"/>
  <c r="AC8" i="5"/>
  <c r="AC7" i="5"/>
  <c r="AC6" i="5"/>
  <c r="AC44" i="4"/>
  <c r="AC43" i="4"/>
  <c r="AC42" i="4"/>
  <c r="AC41" i="4"/>
  <c r="AC40" i="4"/>
  <c r="AC39" i="4"/>
  <c r="AC9" i="4"/>
  <c r="AC8" i="4"/>
  <c r="AC7" i="4"/>
  <c r="AC6" i="4"/>
  <c r="AC44" i="3"/>
  <c r="AC43" i="3"/>
  <c r="AC42" i="3"/>
  <c r="AC41" i="3"/>
  <c r="AC40" i="3"/>
  <c r="AC39" i="3"/>
  <c r="AC38" i="3"/>
  <c r="AC37" i="3"/>
  <c r="AC36" i="3"/>
  <c r="AC35" i="3"/>
  <c r="AC34" i="3"/>
  <c r="AC33" i="3"/>
  <c r="AC32" i="3"/>
  <c r="AC31" i="3"/>
  <c r="AC30" i="3"/>
  <c r="AC29" i="3"/>
  <c r="AC28" i="3"/>
  <c r="AC27" i="3"/>
  <c r="AC26" i="3"/>
  <c r="AC25" i="3"/>
  <c r="AC24" i="3"/>
  <c r="AC23" i="3"/>
  <c r="AC22" i="3"/>
  <c r="AC21" i="3"/>
  <c r="AC20" i="3"/>
  <c r="AC19" i="3"/>
  <c r="AC18" i="3"/>
  <c r="AC17" i="3"/>
  <c r="AC16" i="3"/>
  <c r="AC15" i="3"/>
  <c r="AC14" i="3"/>
  <c r="AC13" i="3"/>
  <c r="AC12" i="3"/>
  <c r="AC11" i="3"/>
  <c r="AC10" i="3"/>
  <c r="AC9" i="3"/>
  <c r="AC7" i="3"/>
  <c r="AB9" i="3"/>
  <c r="U41" i="13" l="1"/>
  <c r="X40" i="13"/>
  <c r="U40" i="13"/>
  <c r="X39" i="13"/>
  <c r="U39" i="13"/>
  <c r="X38" i="13"/>
  <c r="U38" i="13"/>
  <c r="X37" i="13"/>
  <c r="U37" i="13"/>
  <c r="X29" i="13"/>
  <c r="U29" i="13"/>
  <c r="X27" i="13"/>
  <c r="U27" i="13"/>
  <c r="X26" i="13"/>
  <c r="U26" i="13"/>
  <c r="X25" i="13"/>
  <c r="U25" i="13"/>
  <c r="X24" i="13"/>
  <c r="U24" i="13"/>
  <c r="Y23" i="13"/>
  <c r="X23" i="13"/>
  <c r="U23" i="13"/>
  <c r="X11" i="13"/>
  <c r="U11" i="13"/>
  <c r="X10" i="13"/>
  <c r="U10" i="13"/>
  <c r="Y9" i="13"/>
  <c r="X9" i="13"/>
  <c r="U9" i="13"/>
  <c r="Y31" i="12"/>
  <c r="Y20" i="12"/>
  <c r="Y9" i="12"/>
  <c r="V31" i="12"/>
  <c r="V20" i="12"/>
  <c r="V9" i="12"/>
  <c r="X11" i="7"/>
  <c r="X10" i="7"/>
  <c r="Y9" i="7"/>
  <c r="X9" i="7"/>
  <c r="V9" i="7"/>
  <c r="X37" i="6"/>
  <c r="X35" i="6"/>
  <c r="X34" i="6"/>
  <c r="X33" i="6"/>
  <c r="X32" i="6"/>
  <c r="Y31" i="6"/>
  <c r="X31" i="6"/>
  <c r="V31" i="6"/>
  <c r="X26" i="6"/>
  <c r="X25" i="6"/>
  <c r="X24" i="6"/>
  <c r="X23" i="6"/>
  <c r="X22" i="6"/>
  <c r="X21" i="6"/>
  <c r="Y20" i="6"/>
  <c r="X20" i="6"/>
  <c r="V20" i="6"/>
  <c r="X15" i="6"/>
  <c r="X14" i="6"/>
  <c r="X13" i="6"/>
  <c r="X12" i="6"/>
  <c r="X11" i="6"/>
  <c r="X10" i="6"/>
  <c r="Y9" i="6"/>
  <c r="X9" i="6"/>
  <c r="V9" i="6"/>
  <c r="X25" i="5"/>
  <c r="X24" i="5"/>
  <c r="Y23" i="5"/>
  <c r="X23" i="5"/>
  <c r="V23" i="5"/>
  <c r="X18" i="5"/>
  <c r="X17" i="5"/>
  <c r="Y16" i="5"/>
  <c r="X16" i="5"/>
  <c r="V16" i="5"/>
  <c r="Y9" i="5"/>
  <c r="V9" i="5"/>
  <c r="Y26" i="4"/>
  <c r="V26" i="4"/>
  <c r="Y18" i="4"/>
  <c r="V18" i="4"/>
  <c r="Y9" i="4"/>
  <c r="Y28" i="3"/>
  <c r="Y19" i="3"/>
  <c r="Y9" i="3"/>
  <c r="V28" i="3"/>
  <c r="V19" i="3"/>
  <c r="V9" i="3"/>
  <c r="U10" i="7" l="1"/>
  <c r="U11" i="7"/>
  <c r="U9" i="7"/>
  <c r="U37" i="6" l="1"/>
  <c r="U35" i="6"/>
  <c r="U34" i="6"/>
  <c r="U33" i="6"/>
  <c r="U32" i="6"/>
  <c r="U31" i="6"/>
  <c r="U26" i="6"/>
  <c r="U25" i="6"/>
  <c r="U24" i="6"/>
  <c r="U23" i="6"/>
  <c r="U22" i="6"/>
  <c r="U21" i="6"/>
  <c r="U20" i="6"/>
  <c r="U10" i="6"/>
  <c r="U11" i="6"/>
  <c r="U12" i="6"/>
  <c r="U13" i="6"/>
  <c r="U14" i="6"/>
  <c r="U15" i="6"/>
  <c r="U9" i="6"/>
  <c r="U25" i="5"/>
  <c r="U24" i="5"/>
  <c r="U23" i="5"/>
  <c r="U18" i="5"/>
  <c r="U17" i="5"/>
  <c r="U16" i="5"/>
  <c r="X10" i="5"/>
  <c r="X11" i="5"/>
  <c r="X9" i="5"/>
  <c r="U10" i="5"/>
  <c r="U11" i="5"/>
  <c r="U9" i="5"/>
  <c r="I42" i="21"/>
  <c r="X154" i="42" l="1"/>
  <c r="X66" i="21" l="1"/>
  <c r="X58" i="21"/>
  <c r="X50" i="21"/>
  <c r="X42" i="21"/>
  <c r="X34" i="21"/>
  <c r="X26" i="21"/>
  <c r="X18" i="21"/>
  <c r="X8" i="21"/>
  <c r="P64" i="21" l="1"/>
  <c r="P63" i="21"/>
  <c r="D88" i="21" l="1"/>
  <c r="R39" i="42" l="1"/>
  <c r="C49" i="13"/>
  <c r="C40" i="12"/>
  <c r="C42" i="7"/>
  <c r="C39" i="6"/>
  <c r="C28" i="5"/>
  <c r="C35" i="3"/>
  <c r="C32" i="4"/>
  <c r="H5" i="3"/>
  <c r="H5" i="13"/>
  <c r="H5" i="12"/>
  <c r="H5" i="7"/>
  <c r="H5" i="6"/>
  <c r="H5" i="5"/>
  <c r="D89" i="21"/>
  <c r="V3" i="42" l="1"/>
  <c r="P21" i="21"/>
  <c r="V145" i="21"/>
  <c r="V144" i="21"/>
  <c r="X143" i="21"/>
  <c r="W143" i="21" s="1"/>
  <c r="X142" i="21"/>
  <c r="W142" i="21" s="1"/>
  <c r="X141" i="21"/>
  <c r="V141" i="21" s="1"/>
  <c r="AJ60" i="21"/>
  <c r="AJ52" i="21"/>
  <c r="AJ44" i="21"/>
  <c r="AJ36" i="21"/>
  <c r="AJ28" i="21"/>
  <c r="AJ20" i="21"/>
  <c r="AJ12" i="21"/>
  <c r="AJ2" i="21"/>
  <c r="AC2" i="42" l="1"/>
  <c r="AE3" i="42"/>
  <c r="X4" i="42"/>
  <c r="AC6" i="42"/>
  <c r="V142" i="21"/>
  <c r="V143" i="21" s="1"/>
  <c r="X5" i="42" s="1"/>
  <c r="M63" i="21"/>
  <c r="P40" i="21"/>
  <c r="W6" i="42" l="1"/>
  <c r="AB5" i="42"/>
  <c r="AH2" i="42"/>
  <c r="N45" i="21" s="1"/>
  <c r="AF2" i="42"/>
  <c r="A11" i="22" s="1"/>
  <c r="Z6" i="42"/>
  <c r="X2" i="42"/>
  <c r="Y6" i="42"/>
  <c r="AE5" i="42"/>
  <c r="W7" i="42"/>
  <c r="Y3" i="42"/>
  <c r="X3" i="42"/>
  <c r="AE6" i="42"/>
  <c r="Z1" i="42"/>
  <c r="AB3" i="42"/>
  <c r="AC4" i="42"/>
  <c r="AD6" i="42"/>
  <c r="Z2" i="42"/>
  <c r="X8" i="42"/>
  <c r="AD2" i="42"/>
  <c r="C154" i="42" s="1"/>
  <c r="U154" i="42" s="1"/>
  <c r="AB4" i="42"/>
  <c r="AB6" i="42"/>
  <c r="AD3" i="42"/>
  <c r="AC5" i="42"/>
  <c r="X6" i="42"/>
  <c r="AD4" i="42"/>
  <c r="Z4" i="42"/>
  <c r="AD5" i="42"/>
  <c r="W5" i="42"/>
  <c r="AE4" i="42"/>
  <c r="W4" i="42"/>
  <c r="Y4" i="42"/>
  <c r="Z5" i="42"/>
  <c r="AC3" i="42"/>
  <c r="W3" i="42"/>
  <c r="AJ2" i="42"/>
  <c r="Y5" i="42"/>
  <c r="Z3" i="42"/>
  <c r="X7" i="42"/>
  <c r="I8" i="21"/>
  <c r="I17" i="21"/>
  <c r="I22" i="21"/>
  <c r="I26" i="21"/>
  <c r="I56" i="21"/>
  <c r="I62" i="21"/>
  <c r="I64" i="21"/>
  <c r="I51" i="42"/>
  <c r="P39" i="21"/>
  <c r="R39" i="21"/>
  <c r="S40" i="21"/>
  <c r="Q40" i="21"/>
  <c r="S39" i="21"/>
  <c r="R40" i="21"/>
  <c r="Q39" i="21"/>
  <c r="T40" i="21" l="1"/>
  <c r="T39" i="21"/>
  <c r="N44" i="21"/>
  <c r="D87" i="42"/>
  <c r="D119" i="42"/>
  <c r="D107" i="42"/>
  <c r="D95" i="42"/>
  <c r="D82" i="42"/>
  <c r="D118" i="42"/>
  <c r="D106" i="42"/>
  <c r="D94" i="42"/>
  <c r="D81" i="42"/>
  <c r="D117" i="42"/>
  <c r="D105" i="42"/>
  <c r="D93" i="42"/>
  <c r="D116" i="42"/>
  <c r="D104" i="42"/>
  <c r="D92" i="42"/>
  <c r="D115" i="42"/>
  <c r="D103" i="42"/>
  <c r="D91" i="42"/>
  <c r="D114" i="42"/>
  <c r="D102" i="42"/>
  <c r="D90" i="42"/>
  <c r="D113" i="42"/>
  <c r="D101" i="42"/>
  <c r="D89" i="42"/>
  <c r="D112" i="42"/>
  <c r="D100" i="42"/>
  <c r="D88" i="42"/>
  <c r="D111" i="42"/>
  <c r="D99" i="42"/>
  <c r="D86" i="42"/>
  <c r="D110" i="42"/>
  <c r="D98" i="42"/>
  <c r="D85" i="42"/>
  <c r="D109" i="42"/>
  <c r="D84" i="42"/>
  <c r="D108" i="42"/>
  <c r="D96" i="42"/>
  <c r="D83" i="42"/>
  <c r="D97" i="42"/>
  <c r="H116" i="42"/>
  <c r="H87" i="42"/>
  <c r="H82" i="42"/>
  <c r="H89" i="42"/>
  <c r="H95" i="42"/>
  <c r="H90" i="42"/>
  <c r="H92" i="42"/>
  <c r="H81" i="42"/>
  <c r="H91" i="42"/>
  <c r="H83" i="42"/>
  <c r="H100" i="42"/>
  <c r="H97" i="42"/>
  <c r="H93" i="42"/>
  <c r="H115" i="42"/>
  <c r="H108" i="42"/>
  <c r="H96" i="42"/>
  <c r="H111" i="42"/>
  <c r="H106" i="42"/>
  <c r="H113" i="42"/>
  <c r="H117" i="42"/>
  <c r="H102" i="42"/>
  <c r="H109" i="42"/>
  <c r="H84" i="42"/>
  <c r="H119" i="42"/>
  <c r="H114" i="42"/>
  <c r="H107" i="42"/>
  <c r="H103" i="42"/>
  <c r="H98" i="42"/>
  <c r="H105" i="42"/>
  <c r="H86" i="42"/>
  <c r="H104" i="42"/>
  <c r="H112" i="42"/>
  <c r="H85" i="42"/>
  <c r="H88" i="42"/>
  <c r="H118" i="42"/>
  <c r="H110" i="42"/>
  <c r="H99" i="42"/>
  <c r="H94" i="42"/>
  <c r="H101" i="42"/>
  <c r="V54" i="42"/>
  <c r="R57" i="42" s="1"/>
  <c r="H57" i="42" l="1"/>
  <c r="T57" i="42"/>
  <c r="B47" i="42"/>
  <c r="B53" i="42"/>
  <c r="I57" i="42"/>
  <c r="N67" i="21" l="1"/>
  <c r="N65" i="21"/>
  <c r="N63" i="21"/>
  <c r="N61" i="21"/>
  <c r="M72" i="21"/>
  <c r="M76" i="21"/>
  <c r="I79" i="21" s="1"/>
  <c r="M71" i="21"/>
  <c r="I74" i="21" s="1"/>
  <c r="R74" i="42"/>
  <c r="T74" i="42" s="1"/>
  <c r="H74" i="42"/>
  <c r="I74" i="42" s="1"/>
  <c r="D74" i="42"/>
  <c r="R69" i="42"/>
  <c r="T69" i="42" s="1"/>
  <c r="I69" i="42"/>
  <c r="H69" i="42"/>
  <c r="R41" i="42"/>
  <c r="R42" i="42"/>
  <c r="R43" i="42"/>
  <c r="R40" i="42"/>
  <c r="M65" i="21" l="1"/>
  <c r="I65" i="21" s="1"/>
  <c r="O27" i="3" l="1"/>
  <c r="Q74" i="21" l="1"/>
  <c r="Q69" i="21"/>
  <c r="Q58" i="21"/>
  <c r="Q53" i="21"/>
  <c r="Q54" i="21"/>
  <c r="Q55" i="21"/>
  <c r="Q52" i="21"/>
  <c r="Q44" i="21"/>
  <c r="Q49" i="21"/>
  <c r="Q56" i="21"/>
  <c r="Q57" i="21"/>
  <c r="Q59" i="21"/>
  <c r="Q60" i="21"/>
  <c r="Q76" i="21"/>
  <c r="A30" i="12"/>
  <c r="A19" i="12"/>
  <c r="O19" i="12"/>
  <c r="A8" i="12"/>
  <c r="R36" i="21"/>
  <c r="P36" i="21"/>
  <c r="Q36" i="21"/>
  <c r="E47" i="23" l="1"/>
  <c r="V171" i="42"/>
  <c r="V170" i="42"/>
  <c r="Q167" i="42"/>
  <c r="J167" i="42"/>
  <c r="C158" i="42"/>
  <c r="X151" i="42"/>
  <c r="X150" i="42"/>
  <c r="X149" i="42"/>
  <c r="V149" i="42" s="1"/>
  <c r="Q121" i="42"/>
  <c r="Q67" i="42"/>
  <c r="H67" i="42"/>
  <c r="T43" i="42"/>
  <c r="T42" i="42"/>
  <c r="T41" i="42"/>
  <c r="Q7" i="42"/>
  <c r="H12" i="42" s="1"/>
  <c r="V150" i="42" l="1"/>
  <c r="V151" i="42" s="1"/>
  <c r="V152" i="42" s="1"/>
  <c r="X169" i="42"/>
  <c r="W169" i="42" s="1"/>
  <c r="T28" i="42"/>
  <c r="T12" i="42"/>
  <c r="X155" i="42"/>
  <c r="C156" i="42"/>
  <c r="U156" i="42" s="1"/>
  <c r="X135" i="42"/>
  <c r="W135" i="42" s="1"/>
  <c r="R36" i="42"/>
  <c r="D36" i="42" s="1"/>
  <c r="R35" i="42"/>
  <c r="D35" i="42" s="1"/>
  <c r="R37" i="42"/>
  <c r="D37" i="42" s="1"/>
  <c r="R34" i="42"/>
  <c r="D34" i="42" s="1"/>
  <c r="X168" i="42"/>
  <c r="W168" i="42" s="1"/>
  <c r="X164" i="42"/>
  <c r="W164" i="42" s="1"/>
  <c r="X128" i="42"/>
  <c r="X130" i="42"/>
  <c r="C129" i="42"/>
  <c r="U129" i="42" s="1"/>
  <c r="H77" i="42"/>
  <c r="I77" i="42" s="1"/>
  <c r="R72" i="42"/>
  <c r="D72" i="42" s="1"/>
  <c r="I72" i="42"/>
  <c r="X160" i="42"/>
  <c r="W160" i="42" s="1"/>
  <c r="X165" i="42"/>
  <c r="X161" i="42"/>
  <c r="W161" i="42" s="1"/>
  <c r="X166" i="42"/>
  <c r="W166" i="42" s="1"/>
  <c r="X167" i="42"/>
  <c r="X163" i="42"/>
  <c r="X162" i="42"/>
  <c r="R77" i="42"/>
  <c r="T77" i="42" s="1"/>
  <c r="R71" i="42"/>
  <c r="T71" i="42" s="1"/>
  <c r="I70" i="42"/>
  <c r="H72" i="42"/>
  <c r="D76" i="42"/>
  <c r="R76" i="42"/>
  <c r="T76" i="42" s="1"/>
  <c r="R70" i="42"/>
  <c r="T70" i="42" s="1"/>
  <c r="H71" i="42"/>
  <c r="D75" i="42"/>
  <c r="I71" i="42"/>
  <c r="D77" i="42"/>
  <c r="R75" i="42"/>
  <c r="T75" i="42" s="1"/>
  <c r="H76" i="42"/>
  <c r="I76" i="42" s="1"/>
  <c r="H70" i="42"/>
  <c r="H75" i="42"/>
  <c r="I75" i="42" s="1"/>
  <c r="D69" i="42"/>
  <c r="C41" i="42"/>
  <c r="C40" i="42"/>
  <c r="C42" i="42"/>
  <c r="C43" i="42"/>
  <c r="T40" i="42"/>
  <c r="X120" i="42"/>
  <c r="W120" i="42" s="1"/>
  <c r="R32" i="42"/>
  <c r="B8" i="42"/>
  <c r="B30" i="42"/>
  <c r="B68" i="42"/>
  <c r="X124" i="42"/>
  <c r="B73" i="42"/>
  <c r="C152" i="42"/>
  <c r="U152" i="42" s="1"/>
  <c r="X140" i="42"/>
  <c r="X139" i="42"/>
  <c r="X138" i="42"/>
  <c r="X137" i="42"/>
  <c r="X136" i="42"/>
  <c r="X126" i="42"/>
  <c r="X125" i="42"/>
  <c r="C125" i="42"/>
  <c r="U125" i="42" s="1"/>
  <c r="C124" i="42"/>
  <c r="U124" i="42" s="1"/>
  <c r="X134" i="42"/>
  <c r="X133" i="42"/>
  <c r="X132" i="42"/>
  <c r="X131" i="42"/>
  <c r="X129" i="42"/>
  <c r="X127" i="42"/>
  <c r="C126" i="42"/>
  <c r="C123" i="42"/>
  <c r="U123" i="42" s="1"/>
  <c r="C122" i="42"/>
  <c r="U122" i="42" s="1"/>
  <c r="B122" i="42" s="1"/>
  <c r="C128" i="42"/>
  <c r="U128" i="42" s="1"/>
  <c r="C127" i="42"/>
  <c r="X123" i="42"/>
  <c r="X122" i="42"/>
  <c r="X121" i="42"/>
  <c r="C130" i="42"/>
  <c r="U130" i="42" s="1"/>
  <c r="D31" i="42"/>
  <c r="D33" i="42"/>
  <c r="B14" i="42"/>
  <c r="R31" i="42"/>
  <c r="R33" i="42"/>
  <c r="X158" i="42"/>
  <c r="X159" i="42"/>
  <c r="V159" i="42" s="1"/>
  <c r="B20" i="42"/>
  <c r="D32" i="42"/>
  <c r="O30" i="6"/>
  <c r="A30" i="6"/>
  <c r="O19" i="6"/>
  <c r="A19" i="6"/>
  <c r="O8" i="6"/>
  <c r="A8" i="6"/>
  <c r="O8" i="5"/>
  <c r="A8" i="5"/>
  <c r="I12" i="42"/>
  <c r="S12" i="42"/>
  <c r="T51" i="42"/>
  <c r="S18" i="42"/>
  <c r="N28" i="42"/>
  <c r="M28" i="42"/>
  <c r="R51" i="42"/>
  <c r="D18" i="42"/>
  <c r="D27" i="42"/>
  <c r="H51" i="42"/>
  <c r="T18" i="42"/>
  <c r="D12" i="42"/>
  <c r="K28" i="42"/>
  <c r="D51" i="42"/>
  <c r="H18" i="42"/>
  <c r="S28" i="42"/>
  <c r="H27" i="42"/>
  <c r="L28" i="42"/>
  <c r="I18" i="42"/>
  <c r="R56" i="42"/>
  <c r="H56" i="42"/>
  <c r="I55" i="42"/>
  <c r="T55" i="42"/>
  <c r="T56" i="42"/>
  <c r="R55" i="42"/>
  <c r="I56" i="42"/>
  <c r="R54" i="42"/>
  <c r="H55" i="42"/>
  <c r="H54" i="42"/>
  <c r="I54" i="42"/>
  <c r="T54" i="42"/>
  <c r="B124" i="42" l="1"/>
  <c r="B123" i="42"/>
  <c r="U159" i="42"/>
  <c r="B130" i="42"/>
  <c r="B125" i="42"/>
  <c r="B128" i="42"/>
  <c r="B129" i="42"/>
  <c r="B153" i="42"/>
  <c r="B152" i="42"/>
  <c r="B154" i="42"/>
  <c r="V153" i="42"/>
  <c r="U160" i="42" s="1"/>
  <c r="V160" i="42"/>
  <c r="V161" i="42" s="1"/>
  <c r="V162" i="42" s="1"/>
  <c r="V163" i="42" s="1"/>
  <c r="D71" i="42"/>
  <c r="D70" i="42"/>
  <c r="T72" i="42"/>
  <c r="C131" i="42"/>
  <c r="U131" i="42" s="1"/>
  <c r="C168" i="42"/>
  <c r="W158" i="42"/>
  <c r="U168" i="42" s="1"/>
  <c r="B168" i="42" s="1"/>
  <c r="V121" i="42"/>
  <c r="W121" i="42"/>
  <c r="V154" i="42" l="1"/>
  <c r="C161" i="42" s="1"/>
  <c r="V122" i="42"/>
  <c r="B131" i="42"/>
  <c r="C159" i="42"/>
  <c r="V123" i="42"/>
  <c r="V164" i="42"/>
  <c r="V155" i="42" l="1"/>
  <c r="C165" i="42" s="1"/>
  <c r="U161" i="42"/>
  <c r="V165" i="42"/>
  <c r="V124" i="42"/>
  <c r="U163" i="42" l="1"/>
  <c r="U162" i="42"/>
  <c r="U165" i="42"/>
  <c r="U164" i="42"/>
  <c r="V166" i="42"/>
  <c r="C160" i="42"/>
  <c r="V125" i="42"/>
  <c r="V167" i="42" l="1"/>
  <c r="V168" i="42" s="1"/>
  <c r="C164" i="42"/>
  <c r="C163" i="42"/>
  <c r="C162" i="42"/>
  <c r="V126" i="42"/>
  <c r="O8" i="3"/>
  <c r="A8" i="3"/>
  <c r="D48" i="42"/>
  <c r="R48" i="42"/>
  <c r="H48" i="42"/>
  <c r="I15" i="42"/>
  <c r="P27" i="21"/>
  <c r="I48" i="42"/>
  <c r="U27" i="21"/>
  <c r="U38" i="21" l="1"/>
  <c r="P38" i="21"/>
  <c r="E50" i="21" s="1"/>
  <c r="V169" i="42"/>
  <c r="V127" i="42"/>
  <c r="O22" i="5"/>
  <c r="O15" i="5"/>
  <c r="A22" i="5"/>
  <c r="A15" i="5"/>
  <c r="D50" i="42"/>
  <c r="H50" i="42"/>
  <c r="R50" i="42"/>
  <c r="I50" i="42"/>
  <c r="T50" i="42"/>
  <c r="E80" i="21" l="1"/>
  <c r="E66" i="21"/>
  <c r="E75" i="21"/>
  <c r="U178" i="42"/>
  <c r="U170" i="42"/>
  <c r="U169" i="42"/>
  <c r="B169" i="42" s="1"/>
  <c r="U173" i="42"/>
  <c r="U175" i="42"/>
  <c r="B175" i="42" s="1"/>
  <c r="U171" i="42"/>
  <c r="B171" i="42" s="1"/>
  <c r="U174" i="42"/>
  <c r="U176" i="42"/>
  <c r="U179" i="42"/>
  <c r="U172" i="42"/>
  <c r="B172" i="42" s="1"/>
  <c r="U177" i="42"/>
  <c r="B177" i="42" s="1"/>
  <c r="C170" i="42"/>
  <c r="C174" i="42"/>
  <c r="C169" i="42"/>
  <c r="C172" i="42"/>
  <c r="C171" i="42"/>
  <c r="C173" i="42"/>
  <c r="C178" i="42"/>
  <c r="C179" i="42"/>
  <c r="C177" i="42"/>
  <c r="C175" i="42"/>
  <c r="B180" i="42"/>
  <c r="C176" i="42"/>
  <c r="V128" i="42"/>
  <c r="B173" i="42" l="1"/>
  <c r="B170" i="42"/>
  <c r="B179" i="42"/>
  <c r="B176" i="42"/>
  <c r="B174" i="42"/>
  <c r="B178" i="42"/>
  <c r="V129" i="42"/>
  <c r="V130" i="42" s="1"/>
  <c r="V131" i="42" l="1"/>
  <c r="V132" i="42" s="1"/>
  <c r="V133" i="42" s="1"/>
  <c r="V134" i="42" s="1"/>
  <c r="D40" i="21"/>
  <c r="V135" i="42" l="1"/>
  <c r="V136" i="42" s="1"/>
  <c r="V137" i="42" s="1"/>
  <c r="V138" i="42" s="1"/>
  <c r="A27" i="3"/>
  <c r="O18" i="3"/>
  <c r="A18" i="3"/>
  <c r="F9" i="23"/>
  <c r="B44" i="23"/>
  <c r="H49" i="42"/>
  <c r="D25" i="42"/>
  <c r="T11" i="42"/>
  <c r="R27" i="21"/>
  <c r="S26" i="42"/>
  <c r="S11" i="42"/>
  <c r="R49" i="42"/>
  <c r="I49" i="42"/>
  <c r="S17" i="42"/>
  <c r="H11" i="42"/>
  <c r="D11" i="42"/>
  <c r="N40" i="21"/>
  <c r="S10" i="42"/>
  <c r="H25" i="42"/>
  <c r="N26" i="42"/>
  <c r="M40" i="21"/>
  <c r="T26" i="42"/>
  <c r="T49" i="42"/>
  <c r="T17" i="42"/>
  <c r="I16" i="42"/>
  <c r="D17" i="42"/>
  <c r="L26" i="42"/>
  <c r="I17" i="42"/>
  <c r="D49" i="42"/>
  <c r="I11" i="42"/>
  <c r="Q27" i="21"/>
  <c r="Q38" i="21" l="1"/>
  <c r="E51" i="21" s="1"/>
  <c r="R38" i="21"/>
  <c r="E52" i="21" s="1"/>
  <c r="O40" i="21"/>
  <c r="E78" i="21"/>
  <c r="E77" i="21"/>
  <c r="E83" i="21"/>
  <c r="E82" i="21"/>
  <c r="B32" i="23"/>
  <c r="C155" i="42"/>
  <c r="U155" i="42" s="1"/>
  <c r="B5" i="42"/>
  <c r="D10" i="42"/>
  <c r="D16" i="42"/>
  <c r="S24" i="42"/>
  <c r="H16" i="42"/>
  <c r="N24" i="42"/>
  <c r="L24" i="42"/>
  <c r="T16" i="42"/>
  <c r="D23" i="42"/>
  <c r="S16" i="42"/>
  <c r="I10" i="42"/>
  <c r="T10" i="42"/>
  <c r="H23" i="42"/>
  <c r="H10" i="42"/>
  <c r="T24" i="42"/>
  <c r="T38" i="21" l="1"/>
  <c r="M46" i="21" s="1"/>
  <c r="I47" i="21" s="1"/>
  <c r="F83" i="21"/>
  <c r="J83" i="21"/>
  <c r="H83" i="21"/>
  <c r="J78" i="21"/>
  <c r="F78" i="21"/>
  <c r="H78" i="21"/>
  <c r="G52" i="21"/>
  <c r="B164" i="42"/>
  <c r="B165" i="42"/>
  <c r="B157" i="42"/>
  <c r="B161" i="42"/>
  <c r="B158" i="42"/>
  <c r="B162" i="42"/>
  <c r="B155" i="42"/>
  <c r="B159" i="42"/>
  <c r="B163" i="42"/>
  <c r="B156" i="42"/>
  <c r="B160" i="42"/>
  <c r="V139" i="42"/>
  <c r="V140" i="42" s="1"/>
  <c r="A17" i="23"/>
  <c r="E14" i="23"/>
  <c r="T22" i="42"/>
  <c r="D15" i="42"/>
  <c r="N22" i="42"/>
  <c r="D21" i="42"/>
  <c r="D9" i="42"/>
  <c r="T15" i="42"/>
  <c r="H15" i="42"/>
  <c r="T48" i="42"/>
  <c r="S15" i="42"/>
  <c r="H9" i="42"/>
  <c r="T9" i="42"/>
  <c r="S9" i="42"/>
  <c r="I9" i="42"/>
  <c r="H21" i="42"/>
  <c r="L22" i="42"/>
  <c r="S22" i="42"/>
  <c r="G51" i="21" l="1"/>
  <c r="C141" i="42"/>
  <c r="U133" i="42"/>
  <c r="U145" i="42"/>
  <c r="U142" i="42"/>
  <c r="U150" i="42"/>
  <c r="B150" i="42" s="1"/>
  <c r="U140" i="42"/>
  <c r="U137" i="42"/>
  <c r="U148" i="42"/>
  <c r="B148" i="42" s="1"/>
  <c r="U138" i="42"/>
  <c r="B138" i="42" s="1"/>
  <c r="U135" i="42"/>
  <c r="U144" i="42"/>
  <c r="B144" i="42" s="1"/>
  <c r="U139" i="42"/>
  <c r="U132" i="42"/>
  <c r="B132" i="42" s="1"/>
  <c r="U134" i="42"/>
  <c r="B134" i="42" s="1"/>
  <c r="U141" i="42"/>
  <c r="U143" i="42"/>
  <c r="U149" i="42"/>
  <c r="B149" i="42" s="1"/>
  <c r="U147" i="42"/>
  <c r="U136" i="42"/>
  <c r="U146" i="42"/>
  <c r="B146" i="42" s="1"/>
  <c r="I39" i="21"/>
  <c r="C136" i="42"/>
  <c r="C134" i="42"/>
  <c r="C132" i="42"/>
  <c r="C135" i="42"/>
  <c r="C133" i="42"/>
  <c r="C137" i="42"/>
  <c r="C147" i="42"/>
  <c r="C142" i="42"/>
  <c r="C139" i="42"/>
  <c r="C146" i="42"/>
  <c r="C145" i="42"/>
  <c r="C138" i="42"/>
  <c r="C148" i="42"/>
  <c r="C150" i="42"/>
  <c r="C143" i="42"/>
  <c r="C149" i="42"/>
  <c r="C144" i="42"/>
  <c r="C140" i="42"/>
  <c r="G1" i="23"/>
  <c r="A39" i="23"/>
  <c r="F6" i="23"/>
  <c r="C26" i="23" s="1"/>
  <c r="F7" i="23"/>
  <c r="C27" i="23" s="1"/>
  <c r="F8" i="23"/>
  <c r="F10" i="23"/>
  <c r="F5" i="23"/>
  <c r="C25" i="23" s="1"/>
  <c r="B143" i="42" l="1"/>
  <c r="B147" i="42"/>
  <c r="B145" i="42"/>
  <c r="B137" i="42"/>
  <c r="B136" i="42"/>
  <c r="B140" i="42"/>
  <c r="B142" i="42"/>
  <c r="B139" i="42"/>
  <c r="B141" i="42"/>
  <c r="B135" i="42"/>
  <c r="B133" i="42"/>
  <c r="G50" i="21"/>
  <c r="C32" i="6"/>
  <c r="I31" i="6"/>
  <c r="K31" i="6" s="1"/>
  <c r="Q22" i="6"/>
  <c r="E22" i="6"/>
  <c r="C21" i="6"/>
  <c r="C22" i="6" s="1"/>
  <c r="C23" i="6" s="1"/>
  <c r="C24" i="6" s="1"/>
  <c r="C25" i="6" s="1"/>
  <c r="C26" i="6" s="1"/>
  <c r="I20" i="6"/>
  <c r="K20" i="6" s="1"/>
  <c r="Q14" i="6"/>
  <c r="Q12" i="6"/>
  <c r="E12" i="6"/>
  <c r="I12" i="6" s="1"/>
  <c r="C10" i="6"/>
  <c r="Q10" i="6" s="1"/>
  <c r="I9" i="6"/>
  <c r="K9" i="6" s="1"/>
  <c r="C24" i="5"/>
  <c r="Q24" i="5" s="1"/>
  <c r="I23" i="5"/>
  <c r="K23" i="5" s="1"/>
  <c r="C17" i="5"/>
  <c r="Q17" i="5" s="1"/>
  <c r="I16" i="5"/>
  <c r="K16" i="5" s="1"/>
  <c r="C10" i="5"/>
  <c r="C11" i="5" s="1"/>
  <c r="Q11" i="5" s="1"/>
  <c r="I9" i="5"/>
  <c r="K9" i="5" s="1"/>
  <c r="C29" i="3"/>
  <c r="Q29" i="3" s="1"/>
  <c r="I28" i="3"/>
  <c r="Q21" i="3"/>
  <c r="Q14" i="3" s="1"/>
  <c r="E21" i="3"/>
  <c r="E14" i="3" s="1"/>
  <c r="C20" i="3"/>
  <c r="Q20" i="3" s="1"/>
  <c r="I19" i="3"/>
  <c r="Q12" i="3"/>
  <c r="E12" i="3"/>
  <c r="I12" i="3" s="1"/>
  <c r="I9" i="3"/>
  <c r="K22" i="42"/>
  <c r="K24" i="42"/>
  <c r="I21" i="3" l="1"/>
  <c r="K21" i="3" s="1"/>
  <c r="Y10" i="6"/>
  <c r="V10" i="6"/>
  <c r="Y14" i="6"/>
  <c r="V14" i="6"/>
  <c r="V15" i="12"/>
  <c r="V11" i="5"/>
  <c r="Y11" i="5"/>
  <c r="Y17" i="5"/>
  <c r="V17" i="5"/>
  <c r="Y22" i="6"/>
  <c r="V22" i="6"/>
  <c r="Y24" i="5"/>
  <c r="V24" i="5"/>
  <c r="Y27" i="13"/>
  <c r="V27" i="13"/>
  <c r="E24" i="5"/>
  <c r="I24" i="5" s="1"/>
  <c r="K24" i="5" s="1"/>
  <c r="Y22" i="12"/>
  <c r="Y12" i="6"/>
  <c r="V12" i="6"/>
  <c r="C33" i="6"/>
  <c r="C34" i="6" s="1"/>
  <c r="C35" i="6" s="1"/>
  <c r="E32" i="6"/>
  <c r="Q22" i="3"/>
  <c r="V29" i="3"/>
  <c r="Y29" i="3"/>
  <c r="V12" i="3"/>
  <c r="Y12" i="3"/>
  <c r="V21" i="3"/>
  <c r="Y21" i="3"/>
  <c r="Q13" i="3"/>
  <c r="Y20" i="3"/>
  <c r="V20" i="3"/>
  <c r="E17" i="5"/>
  <c r="I17" i="5" s="1"/>
  <c r="H80" i="21"/>
  <c r="C25" i="5"/>
  <c r="E25" i="5" s="1"/>
  <c r="I25" i="5" s="1"/>
  <c r="K25" i="5" s="1"/>
  <c r="C18" i="5"/>
  <c r="C30" i="3"/>
  <c r="Q30" i="3" s="1"/>
  <c r="Q23" i="3" s="1"/>
  <c r="K19" i="3"/>
  <c r="K28" i="3"/>
  <c r="K9" i="3"/>
  <c r="K12" i="6"/>
  <c r="E10" i="5"/>
  <c r="I10" i="5" s="1"/>
  <c r="E10" i="3"/>
  <c r="I10" i="3" s="1"/>
  <c r="K10" i="3" s="1"/>
  <c r="E29" i="3"/>
  <c r="I29" i="3" s="1"/>
  <c r="K29" i="3" s="1"/>
  <c r="Q11" i="3"/>
  <c r="E11" i="3"/>
  <c r="K12" i="3"/>
  <c r="E11" i="5"/>
  <c r="C11" i="6"/>
  <c r="E10" i="6"/>
  <c r="E14" i="6"/>
  <c r="I22" i="6"/>
  <c r="K22" i="6" s="1"/>
  <c r="C21" i="3"/>
  <c r="C22" i="3" s="1"/>
  <c r="C23" i="3" s="1"/>
  <c r="E20" i="3"/>
  <c r="Q10" i="3"/>
  <c r="Q10" i="5"/>
  <c r="Q21" i="6"/>
  <c r="Q32" i="6"/>
  <c r="E21" i="6"/>
  <c r="M24" i="42"/>
  <c r="M22" i="42"/>
  <c r="N2" i="21" l="1"/>
  <c r="C85" i="21" s="1"/>
  <c r="Q25" i="5"/>
  <c r="E35" i="6"/>
  <c r="C36" i="6"/>
  <c r="C31" i="3"/>
  <c r="Q33" i="6"/>
  <c r="E33" i="6"/>
  <c r="Q34" i="6"/>
  <c r="E34" i="6"/>
  <c r="E25" i="6" s="1"/>
  <c r="V10" i="12"/>
  <c r="Y10" i="12"/>
  <c r="Y21" i="12"/>
  <c r="V21" i="12"/>
  <c r="Y25" i="5"/>
  <c r="V25" i="5"/>
  <c r="E22" i="3"/>
  <c r="V10" i="5"/>
  <c r="Y10" i="5"/>
  <c r="Y10" i="13"/>
  <c r="V10" i="13"/>
  <c r="Y10" i="7"/>
  <c r="V10" i="7"/>
  <c r="Y32" i="6"/>
  <c r="V32" i="6"/>
  <c r="V21" i="6"/>
  <c r="Y21" i="6"/>
  <c r="Y14" i="3"/>
  <c r="V14" i="3"/>
  <c r="V10" i="3"/>
  <c r="Y10" i="3"/>
  <c r="Y11" i="3"/>
  <c r="V11" i="3"/>
  <c r="Y30" i="3"/>
  <c r="V30" i="3"/>
  <c r="V13" i="3"/>
  <c r="Y13" i="3"/>
  <c r="Y22" i="3"/>
  <c r="V22" i="3"/>
  <c r="Q23" i="6"/>
  <c r="Q13" i="6"/>
  <c r="K17" i="5"/>
  <c r="J80" i="21"/>
  <c r="F80" i="21"/>
  <c r="J67" i="21"/>
  <c r="H67" i="21"/>
  <c r="F75" i="21"/>
  <c r="F67" i="21"/>
  <c r="J66" i="21"/>
  <c r="J75" i="21"/>
  <c r="F66" i="21"/>
  <c r="H66" i="21"/>
  <c r="H75" i="21"/>
  <c r="E18" i="5"/>
  <c r="Q18" i="5"/>
  <c r="E30" i="3"/>
  <c r="E23" i="3" s="1"/>
  <c r="K10" i="5"/>
  <c r="I11" i="5"/>
  <c r="K11" i="5" s="1"/>
  <c r="E11" i="6"/>
  <c r="Q11" i="6"/>
  <c r="C12" i="6"/>
  <c r="C13" i="6" s="1"/>
  <c r="C14" i="6" s="1"/>
  <c r="C15" i="6" s="1"/>
  <c r="I11" i="3"/>
  <c r="K11" i="3" s="1"/>
  <c r="E13" i="6"/>
  <c r="I21" i="6"/>
  <c r="K21" i="6" s="1"/>
  <c r="Q35" i="6"/>
  <c r="I10" i="6"/>
  <c r="K10" i="6" s="1"/>
  <c r="E23" i="6"/>
  <c r="I32" i="6"/>
  <c r="K32" i="6" s="1"/>
  <c r="E13" i="3"/>
  <c r="I20" i="3"/>
  <c r="K20" i="3" s="1"/>
  <c r="I14" i="6"/>
  <c r="K14" i="6" s="1"/>
  <c r="E31" i="3" l="1"/>
  <c r="C32" i="3"/>
  <c r="Q31" i="3"/>
  <c r="V31" i="3" s="1"/>
  <c r="I34" i="6"/>
  <c r="K34" i="6" s="1"/>
  <c r="C37" i="6"/>
  <c r="E36" i="6"/>
  <c r="Q36" i="6"/>
  <c r="I22" i="3"/>
  <c r="K22" i="3" s="1"/>
  <c r="I30" i="3"/>
  <c r="K30" i="3" s="1"/>
  <c r="E24" i="6"/>
  <c r="I24" i="6" s="1"/>
  <c r="K24" i="6" s="1"/>
  <c r="I33" i="6"/>
  <c r="K33" i="6" s="1"/>
  <c r="Y11" i="13"/>
  <c r="V11" i="13"/>
  <c r="Q24" i="6"/>
  <c r="V33" i="6"/>
  <c r="Y33" i="6"/>
  <c r="Y11" i="7"/>
  <c r="V11" i="7"/>
  <c r="V13" i="6"/>
  <c r="Y13" i="6"/>
  <c r="Q15" i="6"/>
  <c r="Y23" i="6"/>
  <c r="V23" i="6"/>
  <c r="V18" i="5"/>
  <c r="Y18" i="5"/>
  <c r="V11" i="12"/>
  <c r="Y11" i="12"/>
  <c r="Q25" i="6"/>
  <c r="Y34" i="6"/>
  <c r="V34" i="6"/>
  <c r="Q26" i="6"/>
  <c r="Y35" i="6"/>
  <c r="V35" i="6"/>
  <c r="Y11" i="6"/>
  <c r="V11" i="6"/>
  <c r="I18" i="5"/>
  <c r="K18" i="5" s="1"/>
  <c r="I35" i="6"/>
  <c r="K35" i="6" s="1"/>
  <c r="E26" i="6"/>
  <c r="I11" i="6"/>
  <c r="K11" i="6" s="1"/>
  <c r="I25" i="6"/>
  <c r="K25" i="6" s="1"/>
  <c r="I13" i="6"/>
  <c r="K13" i="6" s="1"/>
  <c r="I23" i="3"/>
  <c r="K23" i="3" s="1"/>
  <c r="I31" i="3"/>
  <c r="K31" i="3" s="1"/>
  <c r="I13" i="3"/>
  <c r="K13" i="3" s="1"/>
  <c r="I23" i="6"/>
  <c r="K23" i="6" s="1"/>
  <c r="E15" i="6"/>
  <c r="Y31" i="3" l="1"/>
  <c r="Y36" i="6"/>
  <c r="V36" i="6"/>
  <c r="I36" i="6"/>
  <c r="K36" i="6" s="1"/>
  <c r="Q37" i="6"/>
  <c r="V37" i="6" s="1"/>
  <c r="E37" i="6"/>
  <c r="E32" i="3"/>
  <c r="Q32" i="3"/>
  <c r="Y23" i="3"/>
  <c r="V23" i="3"/>
  <c r="I14" i="3"/>
  <c r="K14" i="3" s="1"/>
  <c r="Y26" i="6"/>
  <c r="V26" i="6"/>
  <c r="V25" i="6"/>
  <c r="Y25" i="6"/>
  <c r="Y24" i="6"/>
  <c r="V24" i="6"/>
  <c r="Y15" i="6"/>
  <c r="V15" i="6"/>
  <c r="I26" i="6"/>
  <c r="K26" i="6" s="1"/>
  <c r="I15" i="6"/>
  <c r="K15" i="6" s="1"/>
  <c r="Y37" i="6" l="1"/>
  <c r="I37" i="6"/>
  <c r="K37" i="6" s="1"/>
  <c r="Y32" i="3"/>
  <c r="V32" i="3"/>
  <c r="I32" i="3"/>
  <c r="K32" i="3" s="1"/>
  <c r="D57" i="42"/>
  <c r="D55" i="42"/>
  <c r="D54" i="42"/>
  <c r="D56" i="42"/>
  <c r="I10" i="4" l="1"/>
  <c r="K10" i="4" s="1"/>
  <c r="Q12" i="4"/>
  <c r="Q21" i="4"/>
  <c r="E12" i="4"/>
  <c r="I12" i="4" s="1"/>
  <c r="I19" i="4"/>
  <c r="K19" i="4" s="1"/>
  <c r="I29" i="4"/>
  <c r="I28" i="4"/>
  <c r="I27" i="4"/>
  <c r="K27" i="4" s="1"/>
  <c r="E21" i="4"/>
  <c r="I21" i="4" s="1"/>
  <c r="K21" i="4" s="1"/>
  <c r="H17" i="42"/>
  <c r="M26" i="42"/>
  <c r="K26" i="42"/>
  <c r="V12" i="4" l="1"/>
  <c r="Y12" i="4"/>
  <c r="K12" i="4"/>
  <c r="Y21" i="4"/>
  <c r="V21" i="4"/>
  <c r="K29" i="4"/>
  <c r="K28" i="4"/>
  <c r="Y26" i="12" l="1"/>
  <c r="Y32" i="12"/>
  <c r="V32" i="12"/>
  <c r="V33" i="12"/>
  <c r="V37" i="12"/>
  <c r="V26" i="12" l="1"/>
  <c r="V38" i="13" l="1"/>
  <c r="Y38" i="13"/>
  <c r="V28" i="13"/>
  <c r="Y29" i="13"/>
  <c r="V29" i="13"/>
  <c r="V40" i="13"/>
  <c r="Y40" i="13"/>
  <c r="Y43" i="13"/>
  <c r="V43" i="13"/>
  <c r="Y39" i="13"/>
  <c r="V39" i="13"/>
  <c r="V46" i="13"/>
  <c r="Y46" i="13"/>
  <c r="V45" i="13"/>
  <c r="Y45" i="13"/>
  <c r="Y42" i="13"/>
  <c r="V42" i="13"/>
  <c r="Y44" i="13"/>
  <c r="V44" i="13"/>
  <c r="Y41" i="13"/>
  <c r="V41" i="13"/>
  <c r="Y28" i="13" l="1"/>
  <c r="I38" i="13"/>
  <c r="K38" i="13" s="1"/>
  <c r="I40" i="13"/>
  <c r="K40" i="13" s="1"/>
  <c r="I46" i="13"/>
  <c r="K46" i="13" s="1"/>
  <c r="I43" i="13"/>
  <c r="K43" i="13"/>
  <c r="I41" i="13"/>
  <c r="K41" i="13" s="1"/>
  <c r="I44" i="13"/>
  <c r="K44" i="13" s="1"/>
  <c r="I39" i="13"/>
  <c r="K39" i="13" s="1"/>
  <c r="I42" i="13"/>
  <c r="K42" i="13" s="1"/>
  <c r="I45" i="13"/>
  <c r="K45" i="13" s="1"/>
  <c r="Q13" i="13"/>
  <c r="Y13" i="13" s="1"/>
  <c r="Y24" i="13"/>
  <c r="V24" i="13"/>
  <c r="V13" i="13" l="1"/>
  <c r="V26" i="13"/>
  <c r="Y26" i="13"/>
  <c r="Q15" i="13"/>
  <c r="Y15" i="13" s="1"/>
  <c r="Y14" i="13"/>
  <c r="Q14" i="13"/>
  <c r="V14" i="13"/>
  <c r="V25" i="13"/>
  <c r="Y25" i="13"/>
  <c r="V15" i="13" l="1"/>
  <c r="E13" i="13"/>
  <c r="I13" i="13" s="1"/>
  <c r="I24" i="13"/>
  <c r="K24" i="13"/>
  <c r="K13" i="13" l="1"/>
  <c r="E15" i="13"/>
  <c r="K15" i="13" s="1"/>
  <c r="I15" i="13"/>
  <c r="I25" i="13"/>
  <c r="K25" i="13" s="1"/>
  <c r="E14" i="13"/>
  <c r="I14" i="13" s="1"/>
  <c r="K14" i="13" s="1"/>
  <c r="I26" i="13"/>
  <c r="K26" i="13" s="1"/>
</calcChain>
</file>

<file path=xl/sharedStrings.xml><?xml version="1.0" encoding="utf-8"?>
<sst xmlns="http://schemas.openxmlformats.org/spreadsheetml/2006/main" count="3094" uniqueCount="532">
  <si>
    <t>大　　阪　　地　　区　　　　　運　　賃　　・　　料　　金</t>
    <phoneticPr fontId="2"/>
  </si>
  <si>
    <t>自動認可運賃</t>
    <rPh sb="0" eb="2">
      <t>ジドウ</t>
    </rPh>
    <rPh sb="2" eb="4">
      <t>ニンカ</t>
    </rPh>
    <rPh sb="4" eb="6">
      <t>ウンチン</t>
    </rPh>
    <phoneticPr fontId="2"/>
  </si>
  <si>
    <t>　①特定大型車</t>
    <rPh sb="2" eb="4">
      <t>トクテイ</t>
    </rPh>
    <rPh sb="4" eb="6">
      <t>オオガタ</t>
    </rPh>
    <rPh sb="6" eb="7">
      <t>シャ</t>
    </rPh>
    <phoneticPr fontId="2"/>
  </si>
  <si>
    <t>距離制運賃</t>
    <rPh sb="0" eb="2">
      <t>キョリ</t>
    </rPh>
    <rPh sb="2" eb="3">
      <t>セイ</t>
    </rPh>
    <rPh sb="3" eb="5">
      <t>ウンチン</t>
    </rPh>
    <phoneticPr fontId="2"/>
  </si>
  <si>
    <t>時間距離併用制</t>
    <rPh sb="6" eb="7">
      <t>セイ</t>
    </rPh>
    <phoneticPr fontId="2"/>
  </si>
  <si>
    <t>時間制運賃</t>
    <rPh sb="0" eb="2">
      <t>ジカン</t>
    </rPh>
    <rPh sb="2" eb="3">
      <t>セイ</t>
    </rPh>
    <rPh sb="3" eb="5">
      <t>ウンチン</t>
    </rPh>
    <phoneticPr fontId="2"/>
  </si>
  <si>
    <t>加　算　運　賃</t>
  </si>
  <si>
    <t>下限運賃</t>
    <rPh sb="0" eb="2">
      <t>カゲン</t>
    </rPh>
    <rPh sb="2" eb="4">
      <t>ウンチン</t>
    </rPh>
    <phoneticPr fontId="2"/>
  </si>
  <si>
    <t>上限運賃</t>
    <rPh sb="0" eb="2">
      <t>ジョウゲン</t>
    </rPh>
    <rPh sb="2" eb="4">
      <t>ウンチン</t>
    </rPh>
    <phoneticPr fontId="2"/>
  </si>
  <si>
    <t>円</t>
  </si>
  <si>
    <t>m</t>
  </si>
  <si>
    <t>分</t>
  </si>
  <si>
    <t>秒</t>
  </si>
  <si>
    <t>Ｂ運賃</t>
  </si>
  <si>
    <t>Ｃ運賃</t>
    <phoneticPr fontId="2"/>
  </si>
  <si>
    <t>Ｃ運賃</t>
    <phoneticPr fontId="2"/>
  </si>
  <si>
    <t>Ｄ運賃</t>
    <phoneticPr fontId="2"/>
  </si>
  <si>
    <t>Ｄ運賃</t>
    <phoneticPr fontId="2"/>
  </si>
  <si>
    <t>Ｅ運賃</t>
    <phoneticPr fontId="2"/>
  </si>
  <si>
    <t>　②大型車</t>
    <rPh sb="2" eb="4">
      <t>オオガタ</t>
    </rPh>
    <rPh sb="4" eb="5">
      <t>シャ</t>
    </rPh>
    <phoneticPr fontId="2"/>
  </si>
  <si>
    <t>Ｃ運賃</t>
    <phoneticPr fontId="2"/>
  </si>
  <si>
    <t>Ｄ運賃</t>
    <phoneticPr fontId="2"/>
  </si>
  <si>
    <t>Ｄ運賃</t>
    <phoneticPr fontId="2"/>
  </si>
  <si>
    <t>　③普通車</t>
    <rPh sb="2" eb="5">
      <t>フツウシャ</t>
    </rPh>
    <phoneticPr fontId="2"/>
  </si>
  <si>
    <t>Ｃ運賃</t>
    <phoneticPr fontId="2"/>
  </si>
  <si>
    <t>Ｃ運賃</t>
    <phoneticPr fontId="2"/>
  </si>
  <si>
    <t>　京　都　市　域　地　区　　　　運　賃　・　料　金</t>
    <rPh sb="1" eb="2">
      <t>キョウ</t>
    </rPh>
    <rPh sb="3" eb="4">
      <t>ト</t>
    </rPh>
    <rPh sb="5" eb="6">
      <t>シ</t>
    </rPh>
    <rPh sb="7" eb="8">
      <t>イキ</t>
    </rPh>
    <rPh sb="9" eb="10">
      <t>チ</t>
    </rPh>
    <rPh sb="11" eb="12">
      <t>ク</t>
    </rPh>
    <rPh sb="16" eb="17">
      <t>ウン</t>
    </rPh>
    <rPh sb="18" eb="19">
      <t>チン</t>
    </rPh>
    <rPh sb="22" eb="23">
      <t>リョウ</t>
    </rPh>
    <rPh sb="24" eb="25">
      <t>キン</t>
    </rPh>
    <phoneticPr fontId="2"/>
  </si>
  <si>
    <t>初乗運賃
（1．2㎞）</t>
    <rPh sb="0" eb="1">
      <t>ハツ</t>
    </rPh>
    <rPh sb="1" eb="2">
      <t>ジョウ</t>
    </rPh>
    <rPh sb="2" eb="4">
      <t>ウンチン</t>
    </rPh>
    <phoneticPr fontId="2"/>
  </si>
  <si>
    <t>　③普通車</t>
    <rPh sb="2" eb="4">
      <t>フツウ</t>
    </rPh>
    <rPh sb="4" eb="5">
      <t>シャ</t>
    </rPh>
    <phoneticPr fontId="2"/>
  </si>
  <si>
    <t>京　　都　　北　　部　　地　　区　　　　　運　　賃　　・　　料　　金</t>
    <rPh sb="0" eb="1">
      <t>キョウ</t>
    </rPh>
    <rPh sb="3" eb="4">
      <t>ミヤコ</t>
    </rPh>
    <rPh sb="6" eb="7">
      <t>キタ</t>
    </rPh>
    <rPh sb="9" eb="10">
      <t>ブ</t>
    </rPh>
    <rPh sb="12" eb="13">
      <t>チ</t>
    </rPh>
    <rPh sb="15" eb="16">
      <t>ク</t>
    </rPh>
    <rPh sb="21" eb="22">
      <t>ウン</t>
    </rPh>
    <rPh sb="24" eb="25">
      <t>チン</t>
    </rPh>
    <rPh sb="30" eb="31">
      <t>リョウ</t>
    </rPh>
    <rPh sb="33" eb="34">
      <t>キン</t>
    </rPh>
    <phoneticPr fontId="2"/>
  </si>
  <si>
    <t>初乗運賃
（1．3㎞）</t>
    <rPh sb="0" eb="1">
      <t>ハツ</t>
    </rPh>
    <rPh sb="1" eb="2">
      <t>ジョウ</t>
    </rPh>
    <rPh sb="2" eb="4">
      <t>ウンチン</t>
    </rPh>
    <phoneticPr fontId="2"/>
  </si>
  <si>
    <t>Ｃ運賃</t>
  </si>
  <si>
    <t>Ｄ運賃</t>
  </si>
  <si>
    <t>Ｅ運賃</t>
    <phoneticPr fontId="2"/>
  </si>
  <si>
    <t>Ｅ運賃</t>
    <phoneticPr fontId="2"/>
  </si>
  <si>
    <t>Ｆ運賃</t>
    <rPh sb="1" eb="3">
      <t>ウンチン</t>
    </rPh>
    <phoneticPr fontId="2"/>
  </si>
  <si>
    <t>Ｅ運賃</t>
    <phoneticPr fontId="2"/>
  </si>
  <si>
    <t>Ｆ運賃</t>
    <phoneticPr fontId="2"/>
  </si>
  <si>
    <t>Ｅ運賃</t>
  </si>
  <si>
    <t>下限運賃</t>
    <rPh sb="0" eb="2">
      <t>カゲン</t>
    </rPh>
    <phoneticPr fontId="2"/>
  </si>
  <si>
    <t>初乗運賃
（1時間）</t>
    <rPh sb="0" eb="1">
      <t>ハツ</t>
    </rPh>
    <rPh sb="1" eb="2">
      <t>ジョウ</t>
    </rPh>
    <rPh sb="2" eb="4">
      <t>ウンチン</t>
    </rPh>
    <rPh sb="7" eb="9">
      <t>ジカン</t>
    </rPh>
    <phoneticPr fontId="2"/>
  </si>
  <si>
    <t>　</t>
    <phoneticPr fontId="1"/>
  </si>
  <si>
    <t xml:space="preserve"> </t>
    <phoneticPr fontId="1"/>
  </si>
  <si>
    <t>　　　</t>
    <phoneticPr fontId="1"/>
  </si>
  <si>
    <t>知的障害者割引</t>
    <phoneticPr fontId="1"/>
  </si>
  <si>
    <t>身体障害者割引</t>
    <phoneticPr fontId="1"/>
  </si>
  <si>
    <t>時間制運賃</t>
    <rPh sb="0" eb="3">
      <t>ジカンセイ</t>
    </rPh>
    <rPh sb="3" eb="5">
      <t>ウンチン</t>
    </rPh>
    <phoneticPr fontId="1"/>
  </si>
  <si>
    <t>別　　　　紙</t>
    <phoneticPr fontId="1"/>
  </si>
  <si>
    <t>設定する</t>
    <rPh sb="0" eb="2">
      <t>セッテイ</t>
    </rPh>
    <phoneticPr fontId="1"/>
  </si>
  <si>
    <t>設定しない</t>
    <rPh sb="0" eb="2">
      <t>セッテイ</t>
    </rPh>
    <phoneticPr fontId="1"/>
  </si>
  <si>
    <t>○</t>
    <phoneticPr fontId="1"/>
  </si>
  <si>
    <t>この運賃及び料金は、福祉輸送サービスを行う場合についてのみ適用する。</t>
    <rPh sb="10" eb="12">
      <t>フクシ</t>
    </rPh>
    <phoneticPr fontId="1"/>
  </si>
  <si>
    <t xml:space="preserve"> </t>
    <phoneticPr fontId="1"/>
  </si>
  <si>
    <t>連絡先　電話</t>
    <phoneticPr fontId="12"/>
  </si>
  <si>
    <t>一般乗用旅客自動車運送事業（１人１車制個人タクシーを除く。）の</t>
    <phoneticPr fontId="2"/>
  </si>
  <si>
    <t>記</t>
  </si>
  <si>
    <t>　</t>
    <phoneticPr fontId="12"/>
  </si>
  <si>
    <t>別紙のとおり</t>
    <phoneticPr fontId="2"/>
  </si>
  <si>
    <t>　　　近畿運輸局長　　殿</t>
    <phoneticPr fontId="12"/>
  </si>
  <si>
    <t>連絡先　電話</t>
  </si>
  <si>
    <t>メールアドレス</t>
    <phoneticPr fontId="1"/>
  </si>
  <si>
    <t>　　　　</t>
    <phoneticPr fontId="1"/>
  </si>
  <si>
    <t>１　割　引</t>
    <phoneticPr fontId="1"/>
  </si>
  <si>
    <t>変更の申請</t>
    <rPh sb="0" eb="2">
      <t>ヘンコウ</t>
    </rPh>
    <rPh sb="3" eb="5">
      <t>シンセイ</t>
    </rPh>
    <phoneticPr fontId="1"/>
  </si>
  <si>
    <t>設定の申請</t>
    <rPh sb="0" eb="2">
      <t>セッテイ</t>
    </rPh>
    <rPh sb="3" eb="5">
      <t>シンセイ</t>
    </rPh>
    <phoneticPr fontId="1"/>
  </si>
  <si>
    <t>遠距離割引（距離制運賃9,000円を超える金額について1割引）</t>
    <rPh sb="6" eb="8">
      <t>キョリ</t>
    </rPh>
    <rPh sb="8" eb="9">
      <t>セイ</t>
    </rPh>
    <rPh sb="9" eb="11">
      <t>ウンチン</t>
    </rPh>
    <rPh sb="28" eb="30">
      <t>ワリビ</t>
    </rPh>
    <phoneticPr fontId="1"/>
  </si>
  <si>
    <t>運賃の割引</t>
    <phoneticPr fontId="1"/>
  </si>
  <si>
    <t>特定大型車</t>
    <phoneticPr fontId="1"/>
  </si>
  <si>
    <t>道路運送車両法施行規則第２条に定める普通自動車（以下</t>
    <phoneticPr fontId="1"/>
  </si>
  <si>
    <t>自動車」という。）のうち乗車定員が７名以上のもの。</t>
    <phoneticPr fontId="1"/>
  </si>
  <si>
    <t>「普通自動車」という。）又は小型自動車（以下「小型</t>
    <phoneticPr fontId="1"/>
  </si>
  <si>
    <t>会社住所</t>
    <rPh sb="0" eb="2">
      <t>カイシャ</t>
    </rPh>
    <phoneticPr fontId="1"/>
  </si>
  <si>
    <t>介護タクシー運賃申請作成の手引き</t>
    <rPh sb="0" eb="2">
      <t>カイゴ</t>
    </rPh>
    <rPh sb="6" eb="8">
      <t>ウンチン</t>
    </rPh>
    <rPh sb="8" eb="10">
      <t>シンセイ</t>
    </rPh>
    <rPh sb="10" eb="12">
      <t>サクセイ</t>
    </rPh>
    <rPh sb="13" eb="15">
      <t>テビ</t>
    </rPh>
    <phoneticPr fontId="1"/>
  </si>
  <si>
    <t>メールアドレス</t>
    <phoneticPr fontId="1"/>
  </si>
  <si>
    <t>設定する（タクシーメーターを設置する）</t>
    <rPh sb="0" eb="2">
      <t>セッテイ</t>
    </rPh>
    <rPh sb="14" eb="16">
      <t>セッチ</t>
    </rPh>
    <phoneticPr fontId="1"/>
  </si>
  <si>
    <t>設定しない（タクシーメーターを設置しない）</t>
    <rPh sb="0" eb="2">
      <t>セッテイ</t>
    </rPh>
    <rPh sb="15" eb="17">
      <t>セッチ</t>
    </rPh>
    <phoneticPr fontId="1"/>
  </si>
  <si>
    <t>代表者名</t>
    <phoneticPr fontId="12"/>
  </si>
  <si>
    <t>道路運送法第９条の３及び同法施行規則第１０条の３の規定により、下記のとおり申請致します。</t>
    <phoneticPr fontId="1"/>
  </si>
  <si>
    <t>住所</t>
    <phoneticPr fontId="12"/>
  </si>
  <si>
    <t>名　　　　称</t>
    <phoneticPr fontId="12"/>
  </si>
  <si>
    <t>　２．設定（変更）しようとする運賃及び料金を適用する営業区域</t>
    <rPh sb="6" eb="8">
      <t>ヘンコウ</t>
    </rPh>
    <phoneticPr fontId="2"/>
  </si>
  <si>
    <t>　１．氏名又は名称及び住所並びに法人にあっては、その代表者の氏名</t>
    <phoneticPr fontId="1"/>
  </si>
  <si>
    <t>　３．設定（変更）しようとする運賃及び料金の種類、額及び適用方法</t>
    <rPh sb="6" eb="8">
      <t>ヘンコウ</t>
    </rPh>
    <phoneticPr fontId="12"/>
  </si>
  <si>
    <t>大　型　車</t>
    <phoneticPr fontId="1"/>
  </si>
  <si>
    <t>普　通　車</t>
    <phoneticPr fontId="1"/>
  </si>
  <si>
    <t>以下のいずれかに該当する自動車。</t>
    <phoneticPr fontId="1"/>
  </si>
  <si>
    <t>備　　　考　</t>
    <phoneticPr fontId="1"/>
  </si>
  <si>
    <t>一　次号に掲げる自動車以外の自動車</t>
  </si>
  <si>
    <t>ア　乗車定員が７名以上のもの　大型車</t>
  </si>
  <si>
    <t>イ　乗車定員が６名以下のもの　普通車</t>
  </si>
  <si>
    <t>ア　普通自動車　普通自動車</t>
  </si>
  <si>
    <t>イ　小型自動車　小型自動車</t>
  </si>
  <si>
    <t>３　上記の車種区分において、ハイブリッド自動車とは、</t>
    <phoneticPr fontId="1"/>
  </si>
  <si>
    <t>内燃機関を搭載し、併せて電気又は蓄圧器に蓄えられた</t>
    <phoneticPr fontId="1"/>
  </si>
  <si>
    <t>圧力を動力源として用いる自動車をいう。</t>
    <phoneticPr fontId="1"/>
  </si>
  <si>
    <t>一　普通自動車又は小型自動車のうち特定大型車及び大型</t>
    <phoneticPr fontId="1"/>
  </si>
  <si>
    <t>車に該当する自動車以外のもの。</t>
    <phoneticPr fontId="1"/>
  </si>
  <si>
    <t>二　道路運送車両法施行規則第２条に定める軽自動車（</t>
    <phoneticPr fontId="1"/>
  </si>
  <si>
    <t>１　自動車の大きさ等については、自動車検査証に記載</t>
    <phoneticPr fontId="1"/>
  </si>
  <si>
    <t>されている諸元を基準とする。</t>
    <phoneticPr fontId="1"/>
  </si>
  <si>
    <t>２　車体の形状が患者輸送車、車いす移動車又は身体障害</t>
    <phoneticPr fontId="1"/>
  </si>
  <si>
    <t>は、上記の車種区分によらず、以下の区分を適用する。</t>
    <phoneticPr fontId="1"/>
  </si>
  <si>
    <t>者輸送車である特種自動車（軽自動車を除く。）について</t>
    <phoneticPr fontId="1"/>
  </si>
  <si>
    <t>普通自動車のうち排気量が２リットル（ハイブリッド自</t>
    <phoneticPr fontId="1"/>
  </si>
  <si>
    <t>動車にあっては２．５リットル。）を超えるもので</t>
    <phoneticPr fontId="1"/>
  </si>
  <si>
    <t>あって乗車定員が６名以下のもの。</t>
    <phoneticPr fontId="1"/>
  </si>
  <si>
    <t>二　専ら旅客を寝台に乗せて運行することを目的とする</t>
    <phoneticPr fontId="1"/>
  </si>
  <si>
    <t>自動車</t>
    <phoneticPr fontId="1"/>
  </si>
  <si>
    <t>距離制運賃</t>
    <rPh sb="0" eb="2">
      <t>キョリ</t>
    </rPh>
    <rPh sb="2" eb="3">
      <t>セイ</t>
    </rPh>
    <rPh sb="3" eb="5">
      <t>ウンチン</t>
    </rPh>
    <phoneticPr fontId="1"/>
  </si>
  <si>
    <t>運送契約は営業所のみにおいて行い、運転者と旅客との運送契約は認めない。</t>
  </si>
  <si>
    <t>身体障害者割引は、身体障害者福祉法の規定により身体障害者手帳の交付を受けている者について適用する。</t>
  </si>
  <si>
    <t>知的障害者割引は、療育手帳制度要綱（昭和48年９月27日、厚生事務次官通知）に規定する知的障害者の療育手帳の交付を受けている者について適用する。</t>
  </si>
  <si>
    <t>設定</t>
    <rPh sb="0" eb="2">
      <t>セッテイ</t>
    </rPh>
    <phoneticPr fontId="2"/>
  </si>
  <si>
    <r>
      <rPr>
        <sz val="11"/>
        <rFont val="ＭＳ Ｐゴシック"/>
        <family val="3"/>
        <charset val="128"/>
      </rPr>
      <t>　</t>
    </r>
    <r>
      <rPr>
        <u/>
        <sz val="11"/>
        <rFont val="ＭＳ Ｐゴシック"/>
        <family val="3"/>
        <charset val="128"/>
      </rPr>
      <t>添付資料</t>
    </r>
    <phoneticPr fontId="1"/>
  </si>
  <si>
    <t>住所：</t>
    <phoneticPr fontId="12"/>
  </si>
  <si>
    <t>名称：</t>
    <phoneticPr fontId="12"/>
  </si>
  <si>
    <t>代表者名：</t>
    <phoneticPr fontId="12"/>
  </si>
  <si>
    <t>大型車</t>
    <rPh sb="0" eb="3">
      <t>オオガタシャ</t>
    </rPh>
    <phoneticPr fontId="1"/>
  </si>
  <si>
    <t>普通車</t>
    <rPh sb="0" eb="3">
      <t>フツウシャ</t>
    </rPh>
    <phoneticPr fontId="1"/>
  </si>
  <si>
    <t>初乗運賃</t>
    <rPh sb="0" eb="2">
      <t>ハツノ</t>
    </rPh>
    <rPh sb="2" eb="4">
      <t>ウンチン</t>
    </rPh>
    <phoneticPr fontId="1"/>
  </si>
  <si>
    <t>加算運賃</t>
    <rPh sb="0" eb="2">
      <t>カサン</t>
    </rPh>
    <rPh sb="2" eb="4">
      <t>ウンチン</t>
    </rPh>
    <phoneticPr fontId="1"/>
  </si>
  <si>
    <t>円</t>
    <rPh sb="0" eb="1">
      <t>エン</t>
    </rPh>
    <phoneticPr fontId="1"/>
  </si>
  <si>
    <t>キロメートルまで</t>
    <phoneticPr fontId="1"/>
  </si>
  <si>
    <t>分までごとに</t>
    <rPh sb="0" eb="1">
      <t>フン</t>
    </rPh>
    <phoneticPr fontId="1"/>
  </si>
  <si>
    <t>1回</t>
    <rPh sb="1" eb="2">
      <t>カイ</t>
    </rPh>
    <phoneticPr fontId="1"/>
  </si>
  <si>
    <t>メートルまでごとに</t>
    <phoneticPr fontId="1"/>
  </si>
  <si>
    <t xml:space="preserve">設定する（定額制）  </t>
    <rPh sb="0" eb="2">
      <t>セッテイ</t>
    </rPh>
    <rPh sb="5" eb="8">
      <t>テイガクセイ</t>
    </rPh>
    <phoneticPr fontId="1"/>
  </si>
  <si>
    <t>運賃</t>
    <rPh sb="0" eb="2">
      <t>ウンチン</t>
    </rPh>
    <phoneticPr fontId="1"/>
  </si>
  <si>
    <t>　</t>
    <phoneticPr fontId="1"/>
  </si>
  <si>
    <t>・</t>
    <phoneticPr fontId="1"/>
  </si>
  <si>
    <t>作成の前に</t>
    <rPh sb="0" eb="2">
      <t>サクセイ</t>
    </rPh>
    <rPh sb="3" eb="4">
      <t>マエ</t>
    </rPh>
    <phoneticPr fontId="1"/>
  </si>
  <si>
    <t>申請者の基本情報を入力してください。</t>
    <rPh sb="0" eb="3">
      <t>シンセイシャ</t>
    </rPh>
    <rPh sb="4" eb="6">
      <t>キホン</t>
    </rPh>
    <rPh sb="6" eb="8">
      <t>ジョウホウ</t>
    </rPh>
    <rPh sb="9" eb="11">
      <t>ニュウリョク</t>
    </rPh>
    <phoneticPr fontId="1"/>
  </si>
  <si>
    <t>各種割引を設定しますか  ※身体障害者割引、知的障害者割引、深夜及び早朝割増は基本設定となります。</t>
    <rPh sb="0" eb="2">
      <t>カクシュ</t>
    </rPh>
    <rPh sb="2" eb="4">
      <t>ワリビキ</t>
    </rPh>
    <rPh sb="5" eb="7">
      <t>セッテイ</t>
    </rPh>
    <phoneticPr fontId="1"/>
  </si>
  <si>
    <t>申請の種類について、選択してください。</t>
    <rPh sb="0" eb="2">
      <t>シンセイ</t>
    </rPh>
    <rPh sb="3" eb="5">
      <t>シュルイ</t>
    </rPh>
    <rPh sb="10" eb="12">
      <t>センタク</t>
    </rPh>
    <phoneticPr fontId="1"/>
  </si>
  <si>
    <t>自動認可運賃から、希望する運賃を選択してください。</t>
    <rPh sb="0" eb="2">
      <t>ジドウ</t>
    </rPh>
    <rPh sb="2" eb="4">
      <t>ニンカ</t>
    </rPh>
    <rPh sb="4" eb="6">
      <t>ウンチン</t>
    </rPh>
    <rPh sb="9" eb="11">
      <t>キボウ</t>
    </rPh>
    <rPh sb="13" eb="15">
      <t>ウンチン</t>
    </rPh>
    <rPh sb="16" eb="18">
      <t>センタク</t>
    </rPh>
    <phoneticPr fontId="1"/>
  </si>
  <si>
    <t>大阪府</t>
    <phoneticPr fontId="1"/>
  </si>
  <si>
    <t>京都府綾部市　福知山市　舞鶴市　宮津市　亀岡市　京丹後市　南丹市　与謝郡　船井郡　京都市（旧京北町の区域に限る。）</t>
    <rPh sb="53" eb="54">
      <t>カギ</t>
    </rPh>
    <phoneticPr fontId="1"/>
  </si>
  <si>
    <t>兵庫県神戸市　芦屋市　西宮市　尼崎市　伊丹市　宝塚市　明石市（魚住町瀬戸川以東に限る。）　川西市　川辺郡</t>
    <phoneticPr fontId="1"/>
  </si>
  <si>
    <t>兵庫県洲本市　淡路市　南あわじ市</t>
    <phoneticPr fontId="1"/>
  </si>
  <si>
    <t>奈良県</t>
    <phoneticPr fontId="1"/>
  </si>
  <si>
    <t>京都府京都市（旧京北町の区域を除く。）向日市　長岡京市　宇治市　八幡市　城陽市　京田辺市　木津川市　乙訓郡　久世郡　綴喜郡　相楽郡</t>
    <phoneticPr fontId="1"/>
  </si>
  <si>
    <t>（運輸局整理用）</t>
    <rPh sb="1" eb="4">
      <t>ウンユキョク</t>
    </rPh>
    <rPh sb="4" eb="6">
      <t>セイリ</t>
    </rPh>
    <rPh sb="6" eb="7">
      <t>ヨウ</t>
    </rPh>
    <phoneticPr fontId="1"/>
  </si>
  <si>
    <t>迎有</t>
    <rPh sb="0" eb="1">
      <t>ムカエ</t>
    </rPh>
    <rPh sb="1" eb="2">
      <t>タモツ</t>
    </rPh>
    <phoneticPr fontId="1"/>
  </si>
  <si>
    <t>迎有（定額制）</t>
    <rPh sb="0" eb="1">
      <t>ムカエ</t>
    </rPh>
    <rPh sb="1" eb="2">
      <t>タモツ</t>
    </rPh>
    <rPh sb="3" eb="6">
      <t>テイガクセイ</t>
    </rPh>
    <phoneticPr fontId="1"/>
  </si>
  <si>
    <t>免許返納</t>
    <rPh sb="0" eb="2">
      <t>メンキョ</t>
    </rPh>
    <rPh sb="2" eb="4">
      <t>ヘンノウ</t>
    </rPh>
    <phoneticPr fontId="1"/>
  </si>
  <si>
    <t>高</t>
    <rPh sb="0" eb="1">
      <t>タカ</t>
    </rPh>
    <phoneticPr fontId="1"/>
  </si>
  <si>
    <t>S</t>
    <phoneticPr fontId="1"/>
  </si>
  <si>
    <t>介護</t>
    <rPh sb="0" eb="2">
      <t>カイゴ</t>
    </rPh>
    <phoneticPr fontId="1"/>
  </si>
  <si>
    <t>距離制</t>
    <rPh sb="0" eb="2">
      <t>キョリ</t>
    </rPh>
    <rPh sb="2" eb="3">
      <t>セイ</t>
    </rPh>
    <phoneticPr fontId="1"/>
  </si>
  <si>
    <t>時間制</t>
    <rPh sb="0" eb="2">
      <t>ジカン</t>
    </rPh>
    <rPh sb="2" eb="3">
      <t>セイ</t>
    </rPh>
    <phoneticPr fontId="1"/>
  </si>
  <si>
    <t>（対応する区域の自動認可運賃シートに移動します）</t>
    <rPh sb="1" eb="3">
      <t>タイオウ</t>
    </rPh>
    <rPh sb="5" eb="7">
      <t>クイキ</t>
    </rPh>
    <rPh sb="8" eb="10">
      <t>ジドウ</t>
    </rPh>
    <rPh sb="10" eb="12">
      <t>ニンカ</t>
    </rPh>
    <rPh sb="12" eb="14">
      <t>ウンチン</t>
    </rPh>
    <rPh sb="18" eb="20">
      <t>イドウ</t>
    </rPh>
    <phoneticPr fontId="1"/>
  </si>
  <si>
    <t>→</t>
    <phoneticPr fontId="1"/>
  </si>
  <si>
    <t>大阪</t>
  </si>
  <si>
    <t>京都北部</t>
  </si>
  <si>
    <t>奈良</t>
    <phoneticPr fontId="1"/>
  </si>
  <si>
    <t>京都市域</t>
    <phoneticPr fontId="1"/>
  </si>
  <si>
    <t>大阪府</t>
    <rPh sb="0" eb="2">
      <t>オオサカ</t>
    </rPh>
    <rPh sb="2" eb="3">
      <t>フ</t>
    </rPh>
    <phoneticPr fontId="1"/>
  </si>
  <si>
    <t>京都府</t>
    <rPh sb="0" eb="3">
      <t>キョウトフ</t>
    </rPh>
    <phoneticPr fontId="1"/>
  </si>
  <si>
    <t>兵庫県</t>
    <rPh sb="0" eb="3">
      <t>ヒョウゴケン</t>
    </rPh>
    <phoneticPr fontId="1"/>
  </si>
  <si>
    <t>滋賀県</t>
    <rPh sb="0" eb="3">
      <t>シガケン</t>
    </rPh>
    <phoneticPr fontId="1"/>
  </si>
  <si>
    <t>兵庫県姫路市　相生市　加古川市　たつの市　赤穂市　西脇市　三木市　高砂市　小野市　三田市　加西市　加東市　</t>
    <phoneticPr fontId="1"/>
  </si>
  <si>
    <t>宍粟市　多可郡　加古郡　神崎郡　揖保郡　赤穂郡　佐用郡　明石市　（魚住町瀬戸川以西に限る。）</t>
    <phoneticPr fontId="1"/>
  </si>
  <si>
    <t>運賃を適用する営業所を設置する（している）区域を選択してください</t>
    <rPh sb="0" eb="2">
      <t>ウンチン</t>
    </rPh>
    <rPh sb="3" eb="5">
      <t>テキヨウ</t>
    </rPh>
    <rPh sb="7" eb="10">
      <t>エイギョウショ</t>
    </rPh>
    <rPh sb="11" eb="13">
      <t>セッチ</t>
    </rPh>
    <rPh sb="21" eb="23">
      <t>クイキ</t>
    </rPh>
    <rPh sb="24" eb="26">
      <t>センタク</t>
    </rPh>
    <phoneticPr fontId="1"/>
  </si>
  <si>
    <t>連絡先　FAX</t>
    <phoneticPr fontId="1"/>
  </si>
  <si>
    <t>連絡先　Fax</t>
    <phoneticPr fontId="12"/>
  </si>
  <si>
    <t>→</t>
    <phoneticPr fontId="1"/>
  </si>
  <si>
    <t>→</t>
    <phoneticPr fontId="1"/>
  </si>
  <si>
    <t>大型車</t>
    <rPh sb="0" eb="2">
      <t>オオガタ</t>
    </rPh>
    <rPh sb="2" eb="3">
      <t>シャ</t>
    </rPh>
    <phoneticPr fontId="1"/>
  </si>
  <si>
    <t>申請予定日</t>
    <rPh sb="0" eb="2">
      <t>シンセイ</t>
    </rPh>
    <rPh sb="2" eb="4">
      <t>ヨテイ</t>
    </rPh>
    <rPh sb="4" eb="5">
      <t>ヒ</t>
    </rPh>
    <phoneticPr fontId="1"/>
  </si>
  <si>
    <t>変更の申請の場合は、変更を必要とする理由を
記載してください（自由記述）→</t>
    <rPh sb="0" eb="2">
      <t>ヘンコウ</t>
    </rPh>
    <rPh sb="3" eb="5">
      <t>シンセイ</t>
    </rPh>
    <rPh sb="6" eb="8">
      <t>バアイ</t>
    </rPh>
    <rPh sb="10" eb="12">
      <t>ヘンコウ</t>
    </rPh>
    <rPh sb="13" eb="15">
      <t>ヒツヨウ</t>
    </rPh>
    <rPh sb="18" eb="20">
      <t>リユウ</t>
    </rPh>
    <rPh sb="22" eb="24">
      <t>キサイ</t>
    </rPh>
    <rPh sb="31" eb="33">
      <t>ジユウ</t>
    </rPh>
    <rPh sb="33" eb="35">
      <t>キジュツ</t>
    </rPh>
    <phoneticPr fontId="1"/>
  </si>
  <si>
    <t>普通車</t>
    <rPh sb="0" eb="3">
      <t>フツウシャ</t>
    </rPh>
    <phoneticPr fontId="1"/>
  </si>
  <si>
    <t>距離制運賃を設定しますか（タクシーメーターを設置しますか）</t>
    <rPh sb="0" eb="2">
      <t>キョリ</t>
    </rPh>
    <rPh sb="2" eb="3">
      <t>セイ</t>
    </rPh>
    <rPh sb="3" eb="5">
      <t>ウンチン</t>
    </rPh>
    <rPh sb="6" eb="8">
      <t>セッテイ</t>
    </rPh>
    <rPh sb="22" eb="24">
      <t>セッチ</t>
    </rPh>
    <phoneticPr fontId="1"/>
  </si>
  <si>
    <t>必ず入力してください</t>
    <rPh sb="0" eb="1">
      <t>カナラ</t>
    </rPh>
    <rPh sb="2" eb="4">
      <t>ニュウリョク</t>
    </rPh>
    <phoneticPr fontId="1"/>
  </si>
  <si>
    <t>可能な限り入力してください</t>
    <rPh sb="0" eb="2">
      <t>カノウ</t>
    </rPh>
    <rPh sb="3" eb="4">
      <t>カギ</t>
    </rPh>
    <rPh sb="5" eb="7">
      <t>ニュウリョク</t>
    </rPh>
    <phoneticPr fontId="1"/>
  </si>
  <si>
    <t>このファイルは、介護タクシーにおける一般的な運賃申請をパソコンで作成する様式です。</t>
    <rPh sb="8" eb="10">
      <t>カイゴ</t>
    </rPh>
    <rPh sb="18" eb="21">
      <t>イッパンテキ</t>
    </rPh>
    <rPh sb="22" eb="24">
      <t>ウンチン</t>
    </rPh>
    <rPh sb="24" eb="26">
      <t>シンセイ</t>
    </rPh>
    <rPh sb="32" eb="34">
      <t>サクセイ</t>
    </rPh>
    <rPh sb="36" eb="38">
      <t>ヨウシキ</t>
    </rPh>
    <phoneticPr fontId="1"/>
  </si>
  <si>
    <t>この様式にかかる相談先</t>
    <rPh sb="2" eb="4">
      <t>ヨウシキ</t>
    </rPh>
    <rPh sb="8" eb="10">
      <t>ソウダン</t>
    </rPh>
    <rPh sb="10" eb="11">
      <t>サキ</t>
    </rPh>
    <phoneticPr fontId="1"/>
  </si>
  <si>
    <t>572-0846</t>
  </si>
  <si>
    <t>寝屋川市高宮栄町１２－１</t>
  </si>
  <si>
    <t>612-8418</t>
  </si>
  <si>
    <t>京都市伏見区竹田向代町３７</t>
  </si>
  <si>
    <t>639-1037</t>
  </si>
  <si>
    <t>524-0104</t>
  </si>
  <si>
    <t>守山市木浜町２２９８－５</t>
  </si>
  <si>
    <t>640-8404</t>
  </si>
  <si>
    <t>和歌山市湊１１０６－４</t>
  </si>
  <si>
    <t>658-0024</t>
  </si>
  <si>
    <t>神戸市東灘区魚崎浜町３４－２</t>
  </si>
  <si>
    <t>大阪運輸支局</t>
    <phoneticPr fontId="1"/>
  </si>
  <si>
    <t>京都運輸支局</t>
    <phoneticPr fontId="1"/>
  </si>
  <si>
    <t>奈良運輸支局</t>
    <phoneticPr fontId="1"/>
  </si>
  <si>
    <t>滋賀運輸支局</t>
    <phoneticPr fontId="1"/>
  </si>
  <si>
    <t>和歌山運輸支局</t>
    <phoneticPr fontId="1"/>
  </si>
  <si>
    <t>輸送部門</t>
    <rPh sb="0" eb="2">
      <t>ユソウ</t>
    </rPh>
    <rPh sb="2" eb="4">
      <t>ブモン</t>
    </rPh>
    <phoneticPr fontId="1"/>
  </si>
  <si>
    <t>輸送・監査部門</t>
    <rPh sb="0" eb="2">
      <t>ユソウ</t>
    </rPh>
    <rPh sb="3" eb="5">
      <t>カンサ</t>
    </rPh>
    <rPh sb="5" eb="7">
      <t>ブモン</t>
    </rPh>
    <phoneticPr fontId="1"/>
  </si>
  <si>
    <t>企画輸送・監査部門</t>
    <rPh sb="0" eb="2">
      <t>キカク</t>
    </rPh>
    <rPh sb="2" eb="4">
      <t>ユソウ</t>
    </rPh>
    <rPh sb="5" eb="7">
      <t>カンサ</t>
    </rPh>
    <rPh sb="7" eb="9">
      <t>ブモン</t>
    </rPh>
    <phoneticPr fontId="1"/>
  </si>
  <si>
    <t>兵庫陸運部</t>
    <rPh sb="0" eb="2">
      <t>ヒョウゴ</t>
    </rPh>
    <rPh sb="2" eb="4">
      <t>リクウン</t>
    </rPh>
    <rPh sb="4" eb="5">
      <t>ブ</t>
    </rPh>
    <phoneticPr fontId="1"/>
  </si>
  <si>
    <t>06-6949-6446</t>
    <phoneticPr fontId="1"/>
  </si>
  <si>
    <t>06-6949-6531</t>
    <phoneticPr fontId="1"/>
  </si>
  <si>
    <t>TEL</t>
    <phoneticPr fontId="1"/>
  </si>
  <si>
    <t>FAX</t>
    <phoneticPr fontId="1"/>
  </si>
  <si>
    <t>近畿運輸局自動車交通部</t>
    <rPh sb="0" eb="2">
      <t>キンキ</t>
    </rPh>
    <rPh sb="2" eb="5">
      <t>ウンユキョク</t>
    </rPh>
    <rPh sb="5" eb="8">
      <t>ジドウシャ</t>
    </rPh>
    <rPh sb="8" eb="11">
      <t>コウツウブ</t>
    </rPh>
    <phoneticPr fontId="1"/>
  </si>
  <si>
    <t>072-822-6733</t>
    <phoneticPr fontId="1"/>
  </si>
  <si>
    <t>075-681-9765</t>
    <phoneticPr fontId="1"/>
  </si>
  <si>
    <t>078-453-1104</t>
    <phoneticPr fontId="1"/>
  </si>
  <si>
    <t>0743-59-2151</t>
    <phoneticPr fontId="1"/>
  </si>
  <si>
    <t>0743-23-0023</t>
    <phoneticPr fontId="1"/>
  </si>
  <si>
    <t>077-585-7253</t>
    <phoneticPr fontId="1"/>
  </si>
  <si>
    <t>077-585-2079</t>
    <phoneticPr fontId="1"/>
  </si>
  <si>
    <t>073-422-2138</t>
    <phoneticPr fontId="1"/>
  </si>
  <si>
    <t>073-422-8310</t>
    <phoneticPr fontId="1"/>
  </si>
  <si>
    <t>072-822-3317</t>
    <phoneticPr fontId="1"/>
  </si>
  <si>
    <t>075-681-1850</t>
    <phoneticPr fontId="1"/>
  </si>
  <si>
    <t xml:space="preserve">078-431-8761 </t>
    <phoneticPr fontId="1"/>
  </si>
  <si>
    <t>①</t>
    <phoneticPr fontId="1"/>
  </si>
  <si>
    <t>②</t>
    <phoneticPr fontId="1"/>
  </si>
  <si>
    <t>③</t>
    <phoneticPr fontId="1"/>
  </si>
  <si>
    <t>車種区分１</t>
    <rPh sb="0" eb="2">
      <t>シャシュ</t>
    </rPh>
    <rPh sb="2" eb="4">
      <t>クブン</t>
    </rPh>
    <phoneticPr fontId="1"/>
  </si>
  <si>
    <t>①</t>
    <phoneticPr fontId="1"/>
  </si>
  <si>
    <t>②</t>
    <phoneticPr fontId="1"/>
  </si>
  <si>
    <t>③</t>
    <phoneticPr fontId="1"/>
  </si>
  <si>
    <t>車種区分２</t>
    <rPh sb="0" eb="2">
      <t>シャシュ</t>
    </rPh>
    <rPh sb="2" eb="4">
      <t>クブン</t>
    </rPh>
    <phoneticPr fontId="1"/>
  </si>
  <si>
    <t>自動車」という。）のうち乗車定員が９名以上のもの。</t>
    <phoneticPr fontId="1"/>
  </si>
  <si>
    <t>あって乗車定員が８名以下のもの。</t>
    <phoneticPr fontId="1"/>
  </si>
  <si>
    <t>車種区分３</t>
    <rPh sb="0" eb="2">
      <t>シャシュ</t>
    </rPh>
    <rPh sb="2" eb="4">
      <t>クブン</t>
    </rPh>
    <phoneticPr fontId="1"/>
  </si>
  <si>
    <t>自動車以外のもの。</t>
    <phoneticPr fontId="1"/>
  </si>
  <si>
    <t>一　普通自動車のうち特定大型車及び大型車に該当する</t>
    <phoneticPr fontId="1"/>
  </si>
  <si>
    <t>二　小型自動車のうち乗車定員が６名以下のもの</t>
    <rPh sb="2" eb="4">
      <t>コガタ</t>
    </rPh>
    <rPh sb="4" eb="7">
      <t>ジドウシャ</t>
    </rPh>
    <rPh sb="10" eb="12">
      <t>ジョウシャ</t>
    </rPh>
    <rPh sb="12" eb="14">
      <t>テイイン</t>
    </rPh>
    <rPh sb="16" eb="17">
      <t>メイ</t>
    </rPh>
    <rPh sb="17" eb="19">
      <t>イカ</t>
    </rPh>
    <phoneticPr fontId="1"/>
  </si>
  <si>
    <t>（小型自動車のうち長さが４．６メートル未満であって</t>
    <rPh sb="1" eb="6">
      <t>コガタジドウシャ</t>
    </rPh>
    <rPh sb="9" eb="10">
      <t>ナガ</t>
    </rPh>
    <rPh sb="19" eb="21">
      <t>ミマン</t>
    </rPh>
    <phoneticPr fontId="1"/>
  </si>
  <si>
    <t>乗車定員が５名以下のものを除く。）。</t>
    <rPh sb="0" eb="2">
      <t>ジョウシャ</t>
    </rPh>
    <rPh sb="2" eb="4">
      <t>テイイン</t>
    </rPh>
    <rPh sb="6" eb="7">
      <t>メイ</t>
    </rPh>
    <rPh sb="7" eb="9">
      <t>イカ</t>
    </rPh>
    <rPh sb="13" eb="14">
      <t>ノゾ</t>
    </rPh>
    <phoneticPr fontId="1"/>
  </si>
  <si>
    <t>中　型　車</t>
    <rPh sb="0" eb="1">
      <t>ナカ</t>
    </rPh>
    <phoneticPr fontId="1"/>
  </si>
  <si>
    <t>小　型　車</t>
    <rPh sb="0" eb="1">
      <t>コ</t>
    </rPh>
    <phoneticPr fontId="1"/>
  </si>
  <si>
    <t>一　小型自動車のうち長さが４．６メートル未満であって</t>
    <rPh sb="2" eb="4">
      <t>コガタ</t>
    </rPh>
    <rPh sb="10" eb="11">
      <t>ナガ</t>
    </rPh>
    <phoneticPr fontId="1"/>
  </si>
  <si>
    <t>乗車定員が５名以下のもの。</t>
    <rPh sb="0" eb="2">
      <t>ジョウシャ</t>
    </rPh>
    <rPh sb="2" eb="4">
      <t>テイイン</t>
    </rPh>
    <rPh sb="6" eb="7">
      <t>ナ</t>
    </rPh>
    <rPh sb="7" eb="9">
      <t>イカ</t>
    </rPh>
    <phoneticPr fontId="1"/>
  </si>
  <si>
    <t>以下「軽自動車」という。）（内燃機関を搭載しない</t>
    <rPh sb="0" eb="2">
      <t>イカ</t>
    </rPh>
    <phoneticPr fontId="1"/>
  </si>
  <si>
    <t>もの又は福祉輸送サービスの用に供するものに限る。）。</t>
    <phoneticPr fontId="1"/>
  </si>
  <si>
    <t>ただし、特殊なバンパー等を装置した自動車は、標準バン</t>
    <rPh sb="4" eb="6">
      <t>トクシュ</t>
    </rPh>
    <rPh sb="11" eb="12">
      <t>トウ</t>
    </rPh>
    <rPh sb="13" eb="15">
      <t>ソウチ</t>
    </rPh>
    <rPh sb="17" eb="20">
      <t>ジドウシャ</t>
    </rPh>
    <rPh sb="22" eb="24">
      <t>ヒョウジュン</t>
    </rPh>
    <phoneticPr fontId="1"/>
  </si>
  <si>
    <t>パーを装置した自動車の長さとする。</t>
    <rPh sb="3" eb="5">
      <t>ソウチ</t>
    </rPh>
    <rPh sb="7" eb="10">
      <t>ジドウシャ</t>
    </rPh>
    <rPh sb="11" eb="12">
      <t>ナガ</t>
    </rPh>
    <phoneticPr fontId="1"/>
  </si>
  <si>
    <t>イ　乗車定員が６名以下のもの　中型車</t>
    <rPh sb="15" eb="17">
      <t>チュウガタ</t>
    </rPh>
    <phoneticPr fontId="1"/>
  </si>
  <si>
    <t>４　「標準仕様ユニバーサルデザインタクシー認定要領」</t>
    <rPh sb="3" eb="5">
      <t>ヒョウジュン</t>
    </rPh>
    <rPh sb="5" eb="7">
      <t>シヨウ</t>
    </rPh>
    <rPh sb="21" eb="23">
      <t>ニンテイ</t>
    </rPh>
    <rPh sb="23" eb="25">
      <t>ヨウリョウ</t>
    </rPh>
    <phoneticPr fontId="1"/>
  </si>
  <si>
    <t>（平成２４年３月２８日付け国自旅第１９２号」に基づき</t>
    <rPh sb="7" eb="8">
      <t>ガツ</t>
    </rPh>
    <rPh sb="10" eb="11">
      <t>ニチ</t>
    </rPh>
    <rPh sb="11" eb="12">
      <t>ヅ</t>
    </rPh>
    <rPh sb="13" eb="14">
      <t>コク</t>
    </rPh>
    <rPh sb="14" eb="15">
      <t>ジ</t>
    </rPh>
    <rPh sb="15" eb="16">
      <t>リョ</t>
    </rPh>
    <rPh sb="16" eb="17">
      <t>ダイ</t>
    </rPh>
    <rPh sb="20" eb="21">
      <t>ゴウ</t>
    </rPh>
    <rPh sb="23" eb="24">
      <t>モト</t>
    </rPh>
    <phoneticPr fontId="1"/>
  </si>
  <si>
    <t>認定された型式のうち通称名「ＪＰＮ　ＴＡＸＩ」につい</t>
    <phoneticPr fontId="1"/>
  </si>
  <si>
    <t>ては、上記の車種区分によらず、中型車の区分を適用する。</t>
    <rPh sb="3" eb="5">
      <t>ジョウキ</t>
    </rPh>
    <rPh sb="6" eb="8">
      <t>シャシュ</t>
    </rPh>
    <rPh sb="8" eb="10">
      <t>クブン</t>
    </rPh>
    <rPh sb="15" eb="18">
      <t>チュウガタシャ</t>
    </rPh>
    <rPh sb="19" eb="21">
      <t>クブン</t>
    </rPh>
    <rPh sb="22" eb="24">
      <t>テキヨウ</t>
    </rPh>
    <phoneticPr fontId="1"/>
  </si>
  <si>
    <t>車種区分４</t>
    <rPh sb="0" eb="2">
      <t>シャシュ</t>
    </rPh>
    <rPh sb="2" eb="4">
      <t>クブン</t>
    </rPh>
    <phoneticPr fontId="1"/>
  </si>
  <si>
    <r>
      <t xml:space="preserve">介護運賃を設定しますか </t>
    </r>
    <r>
      <rPr>
        <sz val="11"/>
        <color rgb="FFFF0000"/>
        <rFont val="Meiryo UI"/>
        <family val="3"/>
        <charset val="128"/>
      </rPr>
      <t>※自動認可運賃より高い金額は設定できません</t>
    </r>
    <rPh sb="0" eb="2">
      <t>カイゴ</t>
    </rPh>
    <rPh sb="2" eb="4">
      <t>ウンチン</t>
    </rPh>
    <rPh sb="5" eb="7">
      <t>セッテイ</t>
    </rPh>
    <phoneticPr fontId="1"/>
  </si>
  <si>
    <t>→</t>
    <phoneticPr fontId="1"/>
  </si>
  <si>
    <t>名称</t>
    <phoneticPr fontId="1"/>
  </si>
  <si>
    <t>提出先運輸支局一覧</t>
    <rPh sb="0" eb="3">
      <t>テイシュツサキ</t>
    </rPh>
    <phoneticPr fontId="1"/>
  </si>
  <si>
    <t xml:space="preserve"> </t>
    <phoneticPr fontId="1"/>
  </si>
  <si>
    <t>その他、特殊な運賃設定を申請する場合は、近畿運輸局へご相談ください。</t>
    <rPh sb="2" eb="3">
      <t>タ</t>
    </rPh>
    <rPh sb="4" eb="6">
      <t>トクシュ</t>
    </rPh>
    <rPh sb="7" eb="9">
      <t>ウンチン</t>
    </rPh>
    <rPh sb="9" eb="11">
      <t>セッテイ</t>
    </rPh>
    <rPh sb="12" eb="14">
      <t>シンセイ</t>
    </rPh>
    <rPh sb="16" eb="18">
      <t>バアイ</t>
    </rPh>
    <rPh sb="20" eb="22">
      <t>キンキ</t>
    </rPh>
    <rPh sb="22" eb="25">
      <t>ウンユキョク</t>
    </rPh>
    <rPh sb="27" eb="29">
      <t>ソウダン</t>
    </rPh>
    <phoneticPr fontId="1"/>
  </si>
  <si>
    <t>※現在の認可書を申請書に添付してください。</t>
    <phoneticPr fontId="1"/>
  </si>
  <si>
    <t>エラーチェック</t>
    <phoneticPr fontId="1"/>
  </si>
  <si>
    <t>初乗距離</t>
    <rPh sb="0" eb="1">
      <t>ハツ</t>
    </rPh>
    <rPh sb="1" eb="2">
      <t>ノ</t>
    </rPh>
    <rPh sb="2" eb="4">
      <t>キョリ</t>
    </rPh>
    <phoneticPr fontId="1"/>
  </si>
  <si>
    <t>初乗時間</t>
    <rPh sb="0" eb="1">
      <t>ハツ</t>
    </rPh>
    <rPh sb="1" eb="2">
      <t>ノ</t>
    </rPh>
    <rPh sb="2" eb="4">
      <t>ジカン</t>
    </rPh>
    <phoneticPr fontId="1"/>
  </si>
  <si>
    <t>設定範囲</t>
    <rPh sb="0" eb="2">
      <t>セッテイ</t>
    </rPh>
    <rPh sb="2" eb="4">
      <t>ハンイ</t>
    </rPh>
    <phoneticPr fontId="1"/>
  </si>
  <si>
    <t>車種区分</t>
    <rPh sb="0" eb="2">
      <t>シャシュ</t>
    </rPh>
    <rPh sb="2" eb="4">
      <t>クブン</t>
    </rPh>
    <phoneticPr fontId="1"/>
  </si>
  <si>
    <t>車種区分①</t>
    <rPh sb="0" eb="2">
      <t>シャシュ</t>
    </rPh>
    <rPh sb="2" eb="4">
      <t>クブン</t>
    </rPh>
    <phoneticPr fontId="1"/>
  </si>
  <si>
    <t>車種区分②</t>
    <rPh sb="0" eb="2">
      <t>シャシュ</t>
    </rPh>
    <rPh sb="2" eb="4">
      <t>クブン</t>
    </rPh>
    <phoneticPr fontId="1"/>
  </si>
  <si>
    <t>車種区分③</t>
    <rPh sb="0" eb="2">
      <t>シャシュ</t>
    </rPh>
    <rPh sb="2" eb="4">
      <t>クブン</t>
    </rPh>
    <phoneticPr fontId="1"/>
  </si>
  <si>
    <t>車種区分④</t>
    <rPh sb="0" eb="2">
      <t>シャシュ</t>
    </rPh>
    <rPh sb="2" eb="4">
      <t>クブン</t>
    </rPh>
    <phoneticPr fontId="1"/>
  </si>
  <si>
    <t>入力後→</t>
    <rPh sb="0" eb="2">
      <t>ニュウリョク</t>
    </rPh>
    <rPh sb="2" eb="3">
      <t>ゴ</t>
    </rPh>
    <phoneticPr fontId="2"/>
  </si>
  <si>
    <t>京都北部!$A$15</t>
    <phoneticPr fontId="1"/>
  </si>
  <si>
    <t>京都北部!$A$16:$Z$18</t>
    <phoneticPr fontId="1"/>
  </si>
  <si>
    <t>京都北部!$A$22</t>
    <phoneticPr fontId="1"/>
  </si>
  <si>
    <t>京都北部!$A$23:$Z$25</t>
    <phoneticPr fontId="1"/>
  </si>
  <si>
    <t>京都北部!$O$15</t>
  </si>
  <si>
    <t>京都北部!$O$16:$Z$18</t>
  </si>
  <si>
    <t>京都北部!$O$22</t>
  </si>
  <si>
    <t>京都北部!$O$23:$Z$25</t>
  </si>
  <si>
    <t>特定大型車</t>
    <rPh sb="0" eb="2">
      <t>トクテイ</t>
    </rPh>
    <rPh sb="2" eb="5">
      <t>オオガタシャ</t>
    </rPh>
    <phoneticPr fontId="1"/>
  </si>
  <si>
    <t>大阪!$A$8</t>
    <phoneticPr fontId="1"/>
  </si>
  <si>
    <t>大阪!$O$8</t>
    <phoneticPr fontId="1"/>
  </si>
  <si>
    <t>加算時間</t>
    <rPh sb="0" eb="2">
      <t>カサン</t>
    </rPh>
    <rPh sb="2" eb="4">
      <t>ジカン</t>
    </rPh>
    <phoneticPr fontId="1"/>
  </si>
  <si>
    <t>京都市域!$O$８</t>
    <rPh sb="0" eb="2">
      <t>キョウト</t>
    </rPh>
    <rPh sb="2" eb="4">
      <t>シイキ</t>
    </rPh>
    <phoneticPr fontId="1"/>
  </si>
  <si>
    <t>京都北部!$A$9:$Z$11</t>
    <phoneticPr fontId="1"/>
  </si>
  <si>
    <t>京都北部!$O$8</t>
  </si>
  <si>
    <t>京都北部!$O$9:$Z$11</t>
  </si>
  <si>
    <t>迎無</t>
    <rPh sb="1" eb="2">
      <t>ナ</t>
    </rPh>
    <phoneticPr fontId="1"/>
  </si>
  <si>
    <t>京都市域!$A$8</t>
    <rPh sb="0" eb="2">
      <t>キョウト</t>
    </rPh>
    <rPh sb="2" eb="4">
      <t>シイキ</t>
    </rPh>
    <phoneticPr fontId="1"/>
  </si>
  <si>
    <t>TEL</t>
    <phoneticPr fontId="1"/>
  </si>
  <si>
    <t>FAX</t>
    <phoneticPr fontId="1"/>
  </si>
  <si>
    <t>１．適用する営業区域</t>
    <phoneticPr fontId="1"/>
  </si>
  <si>
    <t>２．距離制運賃</t>
    <phoneticPr fontId="1"/>
  </si>
  <si>
    <t>４．時間制運賃</t>
    <rPh sb="2" eb="4">
      <t>ジカン</t>
    </rPh>
    <phoneticPr fontId="1"/>
  </si>
  <si>
    <t>５．介護輸送サービスに係る運賃</t>
    <phoneticPr fontId="1"/>
  </si>
  <si>
    <t>６．適用方法</t>
    <phoneticPr fontId="1"/>
  </si>
  <si>
    <t>(１)車　　両</t>
    <phoneticPr fontId="1"/>
  </si>
  <si>
    <t>（２）距離制運賃及び料金</t>
    <phoneticPr fontId="1"/>
  </si>
  <si>
    <t>（３）時間制運賃</t>
    <rPh sb="3" eb="6">
      <t>ジカンセイ</t>
    </rPh>
    <phoneticPr fontId="1"/>
  </si>
  <si>
    <t>（４）介護輸送サービスに係る運賃</t>
    <phoneticPr fontId="1"/>
  </si>
  <si>
    <t>距離制運賃の迎車回送料金を設定しますか（距離制運賃を設定しない場合は「設定しない」を選択）。</t>
    <rPh sb="0" eb="2">
      <t>キョリ</t>
    </rPh>
    <rPh sb="2" eb="3">
      <t>セイ</t>
    </rPh>
    <rPh sb="3" eb="5">
      <t>ウンチン</t>
    </rPh>
    <rPh sb="6" eb="8">
      <t>ゲイシャ</t>
    </rPh>
    <rPh sb="8" eb="10">
      <t>カイソウ</t>
    </rPh>
    <rPh sb="10" eb="12">
      <t>リョウキン</t>
    </rPh>
    <rPh sb="13" eb="15">
      <t>セッテイ</t>
    </rPh>
    <rPh sb="35" eb="37">
      <t>セッテイ</t>
    </rPh>
    <rPh sb="42" eb="44">
      <t>センタク</t>
    </rPh>
    <phoneticPr fontId="1"/>
  </si>
  <si>
    <r>
      <rPr>
        <sz val="10"/>
        <color rgb="FFFF0000"/>
        <rFont val="Meiryo UI"/>
        <family val="3"/>
        <charset val="128"/>
      </rPr>
      <t>上から順番に</t>
    </r>
    <r>
      <rPr>
        <sz val="10"/>
        <color theme="1"/>
        <rFont val="Meiryo UI"/>
        <family val="3"/>
        <charset val="128"/>
      </rPr>
      <t>記載してください。近畿運輸局に対する申請のみ利用可能です。</t>
    </r>
    <rPh sb="0" eb="1">
      <t>ウエ</t>
    </rPh>
    <rPh sb="3" eb="5">
      <t>ジュンバン</t>
    </rPh>
    <rPh sb="6" eb="8">
      <t>キサイ</t>
    </rPh>
    <rPh sb="15" eb="17">
      <t>キンキ</t>
    </rPh>
    <rPh sb="17" eb="20">
      <t>ウンユキョク</t>
    </rPh>
    <rPh sb="21" eb="22">
      <t>タイ</t>
    </rPh>
    <rPh sb="24" eb="26">
      <t>シンセイ</t>
    </rPh>
    <rPh sb="28" eb="30">
      <t>リヨウ</t>
    </rPh>
    <rPh sb="30" eb="32">
      <t>カノウ</t>
    </rPh>
    <phoneticPr fontId="1"/>
  </si>
  <si>
    <t>設定する（スリップ制 ※迎車時からメーターの計算を始めるもの（初乗距離を上限））</t>
    <rPh sb="0" eb="2">
      <t>セッテイ</t>
    </rPh>
    <rPh sb="9" eb="10">
      <t>セイ</t>
    </rPh>
    <rPh sb="33" eb="35">
      <t>キョリ</t>
    </rPh>
    <phoneticPr fontId="1"/>
  </si>
  <si>
    <t>申請書表紙と、申請書別紙を印刷して、内容を確認のうえ営業所を管轄する運輸支局へ３部（うち控え１部）提出してください</t>
    <rPh sb="18" eb="20">
      <t>ナイヨウ</t>
    </rPh>
    <rPh sb="21" eb="23">
      <t>カクニン</t>
    </rPh>
    <rPh sb="26" eb="29">
      <t>エイギョウショ</t>
    </rPh>
    <rPh sb="30" eb="32">
      <t>カンカツ</t>
    </rPh>
    <rPh sb="34" eb="36">
      <t>ウンユ</t>
    </rPh>
    <rPh sb="36" eb="38">
      <t>シキョク</t>
    </rPh>
    <rPh sb="40" eb="41">
      <t>ブ</t>
    </rPh>
    <rPh sb="44" eb="45">
      <t>ヒカ</t>
    </rPh>
    <rPh sb="47" eb="48">
      <t>ブ</t>
    </rPh>
    <rPh sb="49" eb="51">
      <t>テイシュツ</t>
    </rPh>
    <phoneticPr fontId="1"/>
  </si>
  <si>
    <t>特大</t>
    <rPh sb="0" eb="2">
      <t>トクダイ</t>
    </rPh>
    <phoneticPr fontId="1"/>
  </si>
  <si>
    <t>大型</t>
    <rPh sb="0" eb="2">
      <t>オオガタ</t>
    </rPh>
    <phoneticPr fontId="1"/>
  </si>
  <si>
    <t>京都市域</t>
    <phoneticPr fontId="1"/>
  </si>
  <si>
    <t>京都北部!$A$8</t>
    <phoneticPr fontId="1"/>
  </si>
  <si>
    <t>奈良</t>
    <phoneticPr fontId="1"/>
  </si>
  <si>
    <t>大阪</t>
    <rPh sb="0" eb="2">
      <t>オオサカ</t>
    </rPh>
    <phoneticPr fontId="1"/>
  </si>
  <si>
    <t>到着時算定開始</t>
    <rPh sb="0" eb="3">
      <t>トウチャクジ</t>
    </rPh>
    <rPh sb="3" eb="5">
      <t>サンテイ</t>
    </rPh>
    <rPh sb="5" eb="7">
      <t>カイシ</t>
    </rPh>
    <phoneticPr fontId="1"/>
  </si>
  <si>
    <t>３．迎車回送料金</t>
    <rPh sb="6" eb="8">
      <t>リョウキン</t>
    </rPh>
    <phoneticPr fontId="1"/>
  </si>
  <si>
    <t>時間制</t>
    <rPh sb="0" eb="3">
      <t>ジカンセイ</t>
    </rPh>
    <phoneticPr fontId="1"/>
  </si>
  <si>
    <t>特大</t>
    <rPh sb="0" eb="2">
      <t>トクダイ</t>
    </rPh>
    <phoneticPr fontId="1"/>
  </si>
  <si>
    <t>距離制無</t>
    <rPh sb="0" eb="2">
      <t>キョリ</t>
    </rPh>
    <rPh sb="2" eb="3">
      <t>セイ</t>
    </rPh>
    <rPh sb="3" eb="4">
      <t>ナ</t>
    </rPh>
    <phoneticPr fontId="1"/>
  </si>
  <si>
    <t>・</t>
    <phoneticPr fontId="1"/>
  </si>
  <si>
    <t>時間制運賃の初乗時間・加算時間を短縮する場合は、選択してください。</t>
    <rPh sb="0" eb="2">
      <t>ジカン</t>
    </rPh>
    <rPh sb="2" eb="3">
      <t>セイ</t>
    </rPh>
    <rPh sb="3" eb="5">
      <t>ウンチン</t>
    </rPh>
    <rPh sb="6" eb="8">
      <t>ハツノ</t>
    </rPh>
    <rPh sb="8" eb="10">
      <t>ジカン</t>
    </rPh>
    <rPh sb="11" eb="13">
      <t>カサン</t>
    </rPh>
    <rPh sb="13" eb="15">
      <t>ジカン</t>
    </rPh>
    <rPh sb="16" eb="18">
      <t>タンシュク</t>
    </rPh>
    <rPh sb="20" eb="22">
      <t>バアイ</t>
    </rPh>
    <rPh sb="24" eb="26">
      <t>センタク</t>
    </rPh>
    <phoneticPr fontId="1"/>
  </si>
  <si>
    <t>初乗運賃</t>
    <rPh sb="0" eb="2">
      <t>ハツノ</t>
    </rPh>
    <rPh sb="2" eb="4">
      <t>ウンチン</t>
    </rPh>
    <phoneticPr fontId="1"/>
  </si>
  <si>
    <t>加算運賃</t>
    <rPh sb="0" eb="2">
      <t>カサン</t>
    </rPh>
    <rPh sb="2" eb="4">
      <t>ウンチン</t>
    </rPh>
    <phoneticPr fontId="1"/>
  </si>
  <si>
    <t>分までごとに</t>
    <rPh sb="0" eb="1">
      <t>フン</t>
    </rPh>
    <phoneticPr fontId="1"/>
  </si>
  <si>
    <t>分まで</t>
    <rPh sb="0" eb="1">
      <t>フン</t>
    </rPh>
    <phoneticPr fontId="1"/>
  </si>
  <si>
    <t>短縮する</t>
    <rPh sb="0" eb="2">
      <t>タンシュク</t>
    </rPh>
    <phoneticPr fontId="1"/>
  </si>
  <si>
    <t>短縮しない</t>
    <rPh sb="0" eb="2">
      <t>タンシュク</t>
    </rPh>
    <phoneticPr fontId="1"/>
  </si>
  <si>
    <t>短縮あり</t>
    <rPh sb="0" eb="2">
      <t>タンシュク</t>
    </rPh>
    <phoneticPr fontId="1"/>
  </si>
  <si>
    <t>短縮なし</t>
    <rPh sb="0" eb="2">
      <t>タンシュク</t>
    </rPh>
    <phoneticPr fontId="1"/>
  </si>
  <si>
    <t>初乗倍率</t>
    <rPh sb="0" eb="2">
      <t>ハツノ</t>
    </rPh>
    <rPh sb="2" eb="4">
      <t>バイリツ</t>
    </rPh>
    <phoneticPr fontId="1"/>
  </si>
  <si>
    <t>加算倍率</t>
    <rPh sb="0" eb="2">
      <t>カサン</t>
    </rPh>
    <rPh sb="2" eb="4">
      <t>バイリツ</t>
    </rPh>
    <phoneticPr fontId="1"/>
  </si>
  <si>
    <t>※運賃額も短縮した割合に応じて計算されます。</t>
    <rPh sb="1" eb="3">
      <t>ウンチン</t>
    </rPh>
    <rPh sb="3" eb="4">
      <t>ガク</t>
    </rPh>
    <rPh sb="5" eb="7">
      <t>タンシュク</t>
    </rPh>
    <rPh sb="9" eb="11">
      <t>ワリアイ</t>
    </rPh>
    <rPh sb="12" eb="13">
      <t>オウ</t>
    </rPh>
    <rPh sb="15" eb="17">
      <t>ケイサン</t>
    </rPh>
    <phoneticPr fontId="1"/>
  </si>
  <si>
    <t>○時間制短縮運賃の場合</t>
    <rPh sb="1" eb="4">
      <t>ジカンセイ</t>
    </rPh>
    <rPh sb="4" eb="6">
      <t>タンシュク</t>
    </rPh>
    <rPh sb="6" eb="8">
      <t>ウンチン</t>
    </rPh>
    <rPh sb="9" eb="11">
      <t>バアイ</t>
    </rPh>
    <phoneticPr fontId="2"/>
  </si>
  <si>
    <t>※行・列・シートの追加・削除は計算式が崩れるため、しないでください。</t>
    <rPh sb="1" eb="2">
      <t>ギョウ</t>
    </rPh>
    <rPh sb="3" eb="4">
      <t>レツ</t>
    </rPh>
    <rPh sb="9" eb="11">
      <t>ツイカ</t>
    </rPh>
    <rPh sb="12" eb="14">
      <t>サクジョ</t>
    </rPh>
    <rPh sb="15" eb="18">
      <t>ケイサンシキ</t>
    </rPh>
    <rPh sb="19" eb="20">
      <t>クズ</t>
    </rPh>
    <phoneticPr fontId="1"/>
  </si>
  <si>
    <t>（参考）</t>
    <rPh sb="1" eb="3">
      <t>サンコウ</t>
    </rPh>
    <phoneticPr fontId="2"/>
  </si>
  <si>
    <t>車種区分１</t>
    <rPh sb="0" eb="2">
      <t>シャシュ</t>
    </rPh>
    <rPh sb="2" eb="4">
      <t>クブン</t>
    </rPh>
    <phoneticPr fontId="2"/>
  </si>
  <si>
    <t>車種区分①</t>
    <rPh sb="0" eb="2">
      <t>シャシュ</t>
    </rPh>
    <rPh sb="2" eb="4">
      <t>クブン</t>
    </rPh>
    <phoneticPr fontId="2"/>
  </si>
  <si>
    <t>車種区分②</t>
    <rPh sb="0" eb="2">
      <t>シャシュ</t>
    </rPh>
    <rPh sb="2" eb="4">
      <t>クブン</t>
    </rPh>
    <phoneticPr fontId="2"/>
  </si>
  <si>
    <t>車種区分２</t>
    <rPh sb="0" eb="2">
      <t>シャシュ</t>
    </rPh>
    <rPh sb="2" eb="4">
      <t>クブン</t>
    </rPh>
    <phoneticPr fontId="2"/>
  </si>
  <si>
    <t>車種区分ごとに、希望する運賃を上限～下限のうち１つ、「○」で選択してください(A列・O列)</t>
    <phoneticPr fontId="2"/>
  </si>
  <si>
    <t>運転免許証返納者割引(1割引)　※身体障害者、知的障害者割引等とは重複しません。</t>
    <phoneticPr fontId="1"/>
  </si>
  <si>
    <t>高齢者割引(65歳以上)(1割引)　※身体障害者、知的障害者割引等とは重複しません。</t>
    <rPh sb="8" eb="9">
      <t>サイ</t>
    </rPh>
    <rPh sb="9" eb="11">
      <t>イジョウ</t>
    </rPh>
    <phoneticPr fontId="1"/>
  </si>
  <si>
    <t>※申請内容に間違いが無いか、必ず確認してください。</t>
    <rPh sb="1" eb="3">
      <t>シンセイ</t>
    </rPh>
    <rPh sb="3" eb="5">
      <t>ナイヨウ</t>
    </rPh>
    <rPh sb="6" eb="8">
      <t>マチガ</t>
    </rPh>
    <rPh sb="10" eb="11">
      <t>ナ</t>
    </rPh>
    <rPh sb="14" eb="15">
      <t>カナラ</t>
    </rPh>
    <rPh sb="16" eb="18">
      <t>カクニン</t>
    </rPh>
    <phoneticPr fontId="1"/>
  </si>
  <si>
    <t>車種区分５</t>
    <rPh sb="0" eb="2">
      <t>シャシュ</t>
    </rPh>
    <rPh sb="2" eb="4">
      <t>クブン</t>
    </rPh>
    <phoneticPr fontId="1"/>
  </si>
  <si>
    <t>車種区分６</t>
    <rPh sb="0" eb="2">
      <t>シャシュ</t>
    </rPh>
    <rPh sb="2" eb="4">
      <t>クブン</t>
    </rPh>
    <phoneticPr fontId="1"/>
  </si>
  <si>
    <t>車種区分７</t>
    <rPh sb="0" eb="2">
      <t>シャシュ</t>
    </rPh>
    <rPh sb="2" eb="4">
      <t>クブン</t>
    </rPh>
    <phoneticPr fontId="1"/>
  </si>
  <si>
    <t>車種区分８</t>
    <rPh sb="0" eb="2">
      <t>シャシュ</t>
    </rPh>
    <rPh sb="2" eb="4">
      <t>クブン</t>
    </rPh>
    <phoneticPr fontId="1"/>
  </si>
  <si>
    <t>車種区分９</t>
    <rPh sb="0" eb="2">
      <t>シャシュ</t>
    </rPh>
    <rPh sb="2" eb="4">
      <t>クブン</t>
    </rPh>
    <phoneticPr fontId="1"/>
  </si>
  <si>
    <t>車種区分１０</t>
    <rPh sb="0" eb="2">
      <t>シャシュ</t>
    </rPh>
    <rPh sb="2" eb="4">
      <t>クブン</t>
    </rPh>
    <phoneticPr fontId="1"/>
  </si>
  <si>
    <t>車種区分⑤</t>
    <rPh sb="0" eb="2">
      <t>シャシュ</t>
    </rPh>
    <rPh sb="2" eb="4">
      <t>クブン</t>
    </rPh>
    <phoneticPr fontId="1"/>
  </si>
  <si>
    <t>車種区分⑥</t>
    <rPh sb="0" eb="2">
      <t>シャシュ</t>
    </rPh>
    <rPh sb="2" eb="4">
      <t>クブン</t>
    </rPh>
    <phoneticPr fontId="1"/>
  </si>
  <si>
    <t>車種区分⑦</t>
    <rPh sb="0" eb="2">
      <t>シャシュ</t>
    </rPh>
    <rPh sb="2" eb="4">
      <t>クブン</t>
    </rPh>
    <phoneticPr fontId="1"/>
  </si>
  <si>
    <t>車種区分⑧</t>
    <rPh sb="0" eb="2">
      <t>シャシュ</t>
    </rPh>
    <rPh sb="2" eb="4">
      <t>クブン</t>
    </rPh>
    <phoneticPr fontId="1"/>
  </si>
  <si>
    <t>車種区分⑨</t>
    <rPh sb="0" eb="2">
      <t>シャシュ</t>
    </rPh>
    <rPh sb="2" eb="4">
      <t>クブン</t>
    </rPh>
    <phoneticPr fontId="1"/>
  </si>
  <si>
    <t>車種区分⑩</t>
    <rPh sb="0" eb="2">
      <t>シャシュ</t>
    </rPh>
    <rPh sb="2" eb="4">
      <t>クブン</t>
    </rPh>
    <phoneticPr fontId="1"/>
  </si>
  <si>
    <r>
      <t>(設定する場合)どの介護運賃を設定しますか　</t>
    </r>
    <r>
      <rPr>
        <sz val="11"/>
        <color rgb="FFFF0000"/>
        <rFont val="Meiryo UI"/>
        <family val="3"/>
        <charset val="128"/>
      </rPr>
      <t>いずれか１つ選択してください　</t>
    </r>
    <rPh sb="1" eb="3">
      <t>セッテイ</t>
    </rPh>
    <rPh sb="5" eb="7">
      <t>バアイ</t>
    </rPh>
    <rPh sb="10" eb="12">
      <t>カイゴ</t>
    </rPh>
    <rPh sb="12" eb="14">
      <t>ウンチン</t>
    </rPh>
    <rPh sb="15" eb="17">
      <t>セッテイ</t>
    </rPh>
    <rPh sb="28" eb="30">
      <t>センタク</t>
    </rPh>
    <phoneticPr fontId="1"/>
  </si>
  <si>
    <r>
      <rPr>
        <sz val="11"/>
        <color rgb="FFFF0000"/>
        <rFont val="Meiryo UI"/>
        <family val="3"/>
        <charset val="128"/>
      </rPr>
      <t>※訪問介護事業所等の指定を受けている場合にのみ設定可能</t>
    </r>
    <r>
      <rPr>
        <sz val="11"/>
        <color theme="1"/>
        <rFont val="Meiryo UI"/>
        <family val="3"/>
        <charset val="128"/>
      </rPr>
      <t>、新規に設定する場合は指定通知書等の写しを添付</t>
    </r>
    <rPh sb="28" eb="30">
      <t>シンキ</t>
    </rPh>
    <rPh sb="31" eb="33">
      <t>セッテイ</t>
    </rPh>
    <rPh sb="35" eb="37">
      <t>バアイ</t>
    </rPh>
    <rPh sb="38" eb="40">
      <t>シテイ</t>
    </rPh>
    <rPh sb="40" eb="42">
      <t>ツウチ</t>
    </rPh>
    <rPh sb="42" eb="43">
      <t>ショ</t>
    </rPh>
    <rPh sb="43" eb="44">
      <t>トウ</t>
    </rPh>
    <rPh sb="45" eb="46">
      <t>ウツ</t>
    </rPh>
    <rPh sb="48" eb="50">
      <t>テンプ</t>
    </rPh>
    <phoneticPr fontId="1"/>
  </si>
  <si>
    <t>短縮</t>
    <rPh sb="0" eb="2">
      <t>タンシュク</t>
    </rPh>
    <phoneticPr fontId="1"/>
  </si>
  <si>
    <t>代表者役職・代表者名</t>
    <rPh sb="0" eb="3">
      <t>ダイヒョウシャ</t>
    </rPh>
    <rPh sb="3" eb="5">
      <t>ヤクショク</t>
    </rPh>
    <phoneticPr fontId="1"/>
  </si>
  <si>
    <r>
      <rPr>
        <sz val="11"/>
        <color rgb="FFFF0000"/>
        <rFont val="Meiryo UI"/>
        <family val="3"/>
        <charset val="128"/>
      </rPr>
      <t>精神障害者割引(1割引)</t>
    </r>
    <r>
      <rPr>
        <sz val="11"/>
        <color theme="1"/>
        <rFont val="Meiryo UI"/>
        <family val="3"/>
        <charset val="128"/>
      </rPr>
      <t>　　　　　 ※身体障害者、知的障害者割引等とは重複しません。</t>
    </r>
    <rPh sb="9" eb="11">
      <t>ワリビ</t>
    </rPh>
    <rPh sb="19" eb="21">
      <t>シンタイ</t>
    </rPh>
    <rPh sb="25" eb="27">
      <t>チテキ</t>
    </rPh>
    <rPh sb="27" eb="32">
      <t>ショウガイシャワリビ</t>
    </rPh>
    <rPh sb="32" eb="33">
      <t>トウ</t>
    </rPh>
    <rPh sb="35" eb="37">
      <t>チョウフク</t>
    </rPh>
    <phoneticPr fontId="1"/>
  </si>
  <si>
    <t>※他の障害者同様、適用対象とするようご理解ご協力をお願いします。</t>
    <rPh sb="1" eb="2">
      <t>タ</t>
    </rPh>
    <rPh sb="3" eb="6">
      <t>ショウガイシャ</t>
    </rPh>
    <rPh sb="6" eb="8">
      <t>ドウヨウ</t>
    </rPh>
    <phoneticPr fontId="1"/>
  </si>
  <si>
    <t>※excel2013で作成・動作確認済  パソコンにダウンロードして、読み取り専用を解除のうえ、作成してください。</t>
    <rPh sb="35" eb="36">
      <t>ヨ</t>
    </rPh>
    <rPh sb="37" eb="38">
      <t>ト</t>
    </rPh>
    <rPh sb="39" eb="41">
      <t>センヨウ</t>
    </rPh>
    <rPh sb="42" eb="44">
      <t>カイジョ</t>
    </rPh>
    <rPh sb="48" eb="50">
      <t>サクセイ</t>
    </rPh>
    <phoneticPr fontId="1"/>
  </si>
  <si>
    <t>大和郡山市額田部北町９８１－２</t>
    <phoneticPr fontId="1"/>
  </si>
  <si>
    <t>旅客第二課</t>
    <rPh sb="0" eb="2">
      <t>リョカク</t>
    </rPh>
    <rPh sb="2" eb="5">
      <t>ダイニカ</t>
    </rPh>
    <phoneticPr fontId="1"/>
  </si>
  <si>
    <t>※事業開始後の車両入れ替えに備えて、導入予定車両以外の車種区分の設定も可能です（任意）。</t>
    <rPh sb="1" eb="3">
      <t>ジギョウ</t>
    </rPh>
    <rPh sb="3" eb="6">
      <t>カイシゴ</t>
    </rPh>
    <rPh sb="7" eb="10">
      <t>シャリョウイ</t>
    </rPh>
    <rPh sb="11" eb="12">
      <t>カ</t>
    </rPh>
    <rPh sb="14" eb="15">
      <t>ソナ</t>
    </rPh>
    <rPh sb="18" eb="20">
      <t>ドウニュウ</t>
    </rPh>
    <rPh sb="20" eb="22">
      <t>ヨテイ</t>
    </rPh>
    <rPh sb="22" eb="24">
      <t>シャリョウ</t>
    </rPh>
    <rPh sb="24" eb="26">
      <t>イガイ</t>
    </rPh>
    <rPh sb="27" eb="29">
      <t>シャシュ</t>
    </rPh>
    <rPh sb="29" eb="31">
      <t>クブン</t>
    </rPh>
    <rPh sb="32" eb="34">
      <t>セッテイ</t>
    </rPh>
    <rPh sb="35" eb="37">
      <t>カノウ</t>
    </rPh>
    <rPh sb="40" eb="42">
      <t>ニンイ</t>
    </rPh>
    <phoneticPr fontId="1"/>
  </si>
  <si>
    <t>ム</t>
  </si>
  <si>
    <t>イ</t>
    <phoneticPr fontId="1"/>
  </si>
  <si>
    <t>ロ</t>
    <phoneticPr fontId="1"/>
  </si>
  <si>
    <t>ハ</t>
    <phoneticPr fontId="1"/>
  </si>
  <si>
    <t>ニ</t>
    <phoneticPr fontId="1"/>
  </si>
  <si>
    <t>ホ</t>
    <phoneticPr fontId="1"/>
  </si>
  <si>
    <t>ヘ</t>
    <phoneticPr fontId="1"/>
  </si>
  <si>
    <t>ト</t>
    <phoneticPr fontId="1"/>
  </si>
  <si>
    <t>チ</t>
    <phoneticPr fontId="1"/>
  </si>
  <si>
    <t>リ</t>
    <phoneticPr fontId="1"/>
  </si>
  <si>
    <t>ヌ</t>
    <phoneticPr fontId="1"/>
  </si>
  <si>
    <t>ル</t>
    <phoneticPr fontId="1"/>
  </si>
  <si>
    <t>ヲ</t>
    <phoneticPr fontId="1"/>
  </si>
  <si>
    <t>ワ</t>
    <phoneticPr fontId="1"/>
  </si>
  <si>
    <t>カ</t>
    <phoneticPr fontId="1"/>
  </si>
  <si>
    <t>ヨ</t>
    <phoneticPr fontId="1"/>
  </si>
  <si>
    <t>タ</t>
    <phoneticPr fontId="1"/>
  </si>
  <si>
    <t>レ</t>
    <phoneticPr fontId="1"/>
  </si>
  <si>
    <t>ソ</t>
    <phoneticPr fontId="1"/>
  </si>
  <si>
    <t>ツ</t>
    <phoneticPr fontId="1"/>
  </si>
  <si>
    <t>ネ</t>
    <phoneticPr fontId="1"/>
  </si>
  <si>
    <t>ナ</t>
    <phoneticPr fontId="1"/>
  </si>
  <si>
    <t>ラ</t>
    <phoneticPr fontId="1"/>
  </si>
  <si>
    <t>ウ</t>
    <phoneticPr fontId="1"/>
  </si>
  <si>
    <t>ヰ</t>
    <phoneticPr fontId="1"/>
  </si>
  <si>
    <t>ノ</t>
    <phoneticPr fontId="1"/>
  </si>
  <si>
    <t>オ</t>
    <phoneticPr fontId="1"/>
  </si>
  <si>
    <t>奈良!$O$8</t>
  </si>
  <si>
    <t>kkt-taxi-shinsei@</t>
    <phoneticPr fontId="1"/>
  </si>
  <si>
    <t>ki.mlit.go.jp</t>
    <phoneticPr fontId="1"/>
  </si>
  <si>
    <t>Ｇ運賃</t>
    <phoneticPr fontId="2"/>
  </si>
  <si>
    <t>C運賃</t>
    <rPh sb="1" eb="3">
      <t>ウンチン</t>
    </rPh>
    <phoneticPr fontId="2"/>
  </si>
  <si>
    <t>D運賃</t>
    <rPh sb="1" eb="3">
      <t>ウンチン</t>
    </rPh>
    <phoneticPr fontId="2"/>
  </si>
  <si>
    <t>E運賃</t>
    <phoneticPr fontId="1"/>
  </si>
  <si>
    <t>奈良!$A$9:$Z$14</t>
    <phoneticPr fontId="1"/>
  </si>
  <si>
    <t>奈良!$A$19:$Z$24</t>
    <phoneticPr fontId="1"/>
  </si>
  <si>
    <t>奈良!$A$29:$Z$34</t>
    <phoneticPr fontId="1"/>
  </si>
  <si>
    <t>奈良!$A$8</t>
    <phoneticPr fontId="1"/>
  </si>
  <si>
    <t>奈良!$A$18</t>
    <phoneticPr fontId="1"/>
  </si>
  <si>
    <t>奈良!$A$28</t>
    <phoneticPr fontId="1"/>
  </si>
  <si>
    <t>奈良!$O$18</t>
    <phoneticPr fontId="1"/>
  </si>
  <si>
    <t>奈良!$O$28</t>
    <phoneticPr fontId="1"/>
  </si>
  <si>
    <t>奈良!$O$9:$Z$14</t>
    <phoneticPr fontId="1"/>
  </si>
  <si>
    <t>奈良!$O$19:$Z$24</t>
    <phoneticPr fontId="1"/>
  </si>
  <si>
    <t>奈良!$O$29:$Z$34</t>
    <phoneticPr fontId="1"/>
  </si>
  <si>
    <t>定額運賃</t>
    <rPh sb="0" eb="2">
      <t>テイガク</t>
    </rPh>
    <rPh sb="2" eb="4">
      <t>ウンチン</t>
    </rPh>
    <phoneticPr fontId="1"/>
  </si>
  <si>
    <t>定額</t>
    <rPh sb="0" eb="2">
      <t>テイガク</t>
    </rPh>
    <phoneticPr fontId="1"/>
  </si>
  <si>
    <t>奈　　良　　県   　地　　区　　　　運　　賃　　・　　料　　金</t>
    <rPh sb="0" eb="1">
      <t>ナ</t>
    </rPh>
    <rPh sb="3" eb="4">
      <t>ヨ</t>
    </rPh>
    <rPh sb="6" eb="7">
      <t>ケン</t>
    </rPh>
    <rPh sb="11" eb="12">
      <t>チ</t>
    </rPh>
    <rPh sb="14" eb="15">
      <t>ク</t>
    </rPh>
    <rPh sb="19" eb="20">
      <t>ウン</t>
    </rPh>
    <rPh sb="22" eb="23">
      <t>チン</t>
    </rPh>
    <rPh sb="28" eb="29">
      <t>リョウ</t>
    </rPh>
    <rPh sb="31" eb="32">
      <t>キン</t>
    </rPh>
    <phoneticPr fontId="2"/>
  </si>
  <si>
    <t>初乗運賃
（0．9㎞）</t>
    <rPh sb="0" eb="1">
      <t>ハツ</t>
    </rPh>
    <rPh sb="1" eb="2">
      <t>ジョウ</t>
    </rPh>
    <rPh sb="2" eb="4">
      <t>ウンチン</t>
    </rPh>
    <phoneticPr fontId="2"/>
  </si>
  <si>
    <t xml:space="preserve">京都市域!$A$9:$Z$13 </t>
    <phoneticPr fontId="1"/>
  </si>
  <si>
    <t>京都市域!$A$18:$Z$21</t>
    <phoneticPr fontId="1"/>
  </si>
  <si>
    <t>京都市域!$A$26:$Z$29</t>
    <phoneticPr fontId="1"/>
  </si>
  <si>
    <t>京都市域!$O$9:$Z$13</t>
    <phoneticPr fontId="1"/>
  </si>
  <si>
    <t>京都市域!$O$18:$Z$21</t>
    <phoneticPr fontId="1"/>
  </si>
  <si>
    <t>京都市域!$O$26:$Z$29</t>
    <phoneticPr fontId="1"/>
  </si>
  <si>
    <t>京都市域!$A$17</t>
    <rPh sb="0" eb="2">
      <t>キョウト</t>
    </rPh>
    <rPh sb="2" eb="4">
      <t>シイキ</t>
    </rPh>
    <phoneticPr fontId="1"/>
  </si>
  <si>
    <t>京都市域!$A$25</t>
    <phoneticPr fontId="1"/>
  </si>
  <si>
    <t>京都市域!$O$17</t>
    <rPh sb="0" eb="2">
      <t>キョウト</t>
    </rPh>
    <rPh sb="2" eb="4">
      <t>シイキ</t>
    </rPh>
    <phoneticPr fontId="1"/>
  </si>
  <si>
    <t>京都市域!$O$25</t>
    <phoneticPr fontId="1"/>
  </si>
  <si>
    <t>滋賀</t>
    <rPh sb="0" eb="2">
      <t>シガ</t>
    </rPh>
    <phoneticPr fontId="1"/>
  </si>
  <si>
    <t>滋　賀　地　区　　　　運　賃　・　料　金</t>
    <phoneticPr fontId="2"/>
  </si>
  <si>
    <t>D運賃</t>
  </si>
  <si>
    <t>E運賃</t>
  </si>
  <si>
    <t>F運賃</t>
  </si>
  <si>
    <t>滋賀!$A$8</t>
    <rPh sb="0" eb="2">
      <t>シガ</t>
    </rPh>
    <phoneticPr fontId="1"/>
  </si>
  <si>
    <t>滋賀!$A$19</t>
    <rPh sb="0" eb="2">
      <t>シガ</t>
    </rPh>
    <phoneticPr fontId="1"/>
  </si>
  <si>
    <t>滋賀!$A$30</t>
    <rPh sb="0" eb="2">
      <t>シガ</t>
    </rPh>
    <phoneticPr fontId="1"/>
  </si>
  <si>
    <t>滋賀!$A$20:$Z$26</t>
    <rPh sb="0" eb="2">
      <t>シガ</t>
    </rPh>
    <phoneticPr fontId="1"/>
  </si>
  <si>
    <t>滋賀!$A$9:$Z$15</t>
    <rPh sb="0" eb="2">
      <t>シガ</t>
    </rPh>
    <phoneticPr fontId="1"/>
  </si>
  <si>
    <t>滋賀!$A$31:$Z$37</t>
    <rPh sb="0" eb="2">
      <t>シガ</t>
    </rPh>
    <phoneticPr fontId="1"/>
  </si>
  <si>
    <t>滋賀!$O$19</t>
    <rPh sb="0" eb="2">
      <t>シガ</t>
    </rPh>
    <phoneticPr fontId="1"/>
  </si>
  <si>
    <t>滋賀!$O$30</t>
    <rPh sb="0" eb="2">
      <t>シガ</t>
    </rPh>
    <phoneticPr fontId="1"/>
  </si>
  <si>
    <t>滋賀!$O$9:$Z$15</t>
    <rPh sb="0" eb="2">
      <t>シガ</t>
    </rPh>
    <phoneticPr fontId="1"/>
  </si>
  <si>
    <t>滋賀!$O$20:$Z$26</t>
    <rPh sb="0" eb="2">
      <t>シガ</t>
    </rPh>
    <phoneticPr fontId="1"/>
  </si>
  <si>
    <t>滋賀!$O$31:$Z$37</t>
    <rPh sb="0" eb="2">
      <t>シガ</t>
    </rPh>
    <phoneticPr fontId="1"/>
  </si>
  <si>
    <t>一　普通自動車のうち排気量が２リットルを超えるもので</t>
    <rPh sb="0" eb="1">
      <t>イチ</t>
    </rPh>
    <phoneticPr fontId="1"/>
  </si>
  <si>
    <t>あって乗車定員が７名以上のもの（特定大型車を除く。）。</t>
    <rPh sb="11" eb="12">
      <t>ウエ</t>
    </rPh>
    <rPh sb="16" eb="18">
      <t>トクテイ</t>
    </rPh>
    <rPh sb="18" eb="21">
      <t>オオガタシャ</t>
    </rPh>
    <rPh sb="22" eb="23">
      <t>ノゾ</t>
    </rPh>
    <phoneticPr fontId="1"/>
  </si>
  <si>
    <t>二　普通自動車のうち排気量が２リットル（ハイブリッド</t>
    <rPh sb="0" eb="1">
      <t>ニ</t>
    </rPh>
    <phoneticPr fontId="1"/>
  </si>
  <si>
    <t>自動車にあっては２．５リットル。）を超えるもので</t>
    <phoneticPr fontId="1"/>
  </si>
  <si>
    <t>車種区分③</t>
    <rPh sb="0" eb="2">
      <t>シャシュ</t>
    </rPh>
    <rPh sb="2" eb="4">
      <t>クブン</t>
    </rPh>
    <phoneticPr fontId="2"/>
  </si>
  <si>
    <t>車種区分３</t>
    <rPh sb="0" eb="2">
      <t>シャシュ</t>
    </rPh>
    <rPh sb="2" eb="4">
      <t>クブン</t>
    </rPh>
    <phoneticPr fontId="2"/>
  </si>
  <si>
    <t>大阪!$A$18</t>
    <phoneticPr fontId="1"/>
  </si>
  <si>
    <t>大阪!$A$27</t>
    <phoneticPr fontId="1"/>
  </si>
  <si>
    <t>大阪!$A$9:$Z$14</t>
    <phoneticPr fontId="1"/>
  </si>
  <si>
    <t>大阪!$A$19:$Z$23</t>
    <phoneticPr fontId="1"/>
  </si>
  <si>
    <t>大阪!$A$28:$Z$32</t>
    <phoneticPr fontId="1"/>
  </si>
  <si>
    <t>大阪!$O$18</t>
    <phoneticPr fontId="1"/>
  </si>
  <si>
    <t>大阪!$O$27</t>
    <phoneticPr fontId="1"/>
  </si>
  <si>
    <t>大阪!$O$9:$Z$14</t>
    <phoneticPr fontId="1"/>
  </si>
  <si>
    <t>大阪!$O$19:$Z$23</t>
    <phoneticPr fontId="1"/>
  </si>
  <si>
    <t>大阪!$O$28:$Z$32</t>
    <phoneticPr fontId="1"/>
  </si>
  <si>
    <t>運賃改定時の設定変更</t>
    <rPh sb="0" eb="2">
      <t>ウンチン</t>
    </rPh>
    <rPh sb="2" eb="4">
      <t>カイテイ</t>
    </rPh>
    <rPh sb="4" eb="5">
      <t>ジ</t>
    </rPh>
    <rPh sb="6" eb="8">
      <t>セッテイ</t>
    </rPh>
    <rPh sb="8" eb="10">
      <t>ヘンコウ</t>
    </rPh>
    <phoneticPr fontId="1"/>
  </si>
  <si>
    <t>設定１</t>
    <rPh sb="0" eb="2">
      <t>セッテイ</t>
    </rPh>
    <phoneticPr fontId="1"/>
  </si>
  <si>
    <t>設定２</t>
    <rPh sb="0" eb="2">
      <t>セッテイ</t>
    </rPh>
    <phoneticPr fontId="1"/>
  </si>
  <si>
    <t>名前2!A1</t>
    <phoneticPr fontId="1"/>
  </si>
  <si>
    <t>を再表示</t>
    <rPh sb="1" eb="4">
      <t>サイヒョウジ</t>
    </rPh>
    <phoneticPr fontId="1"/>
  </si>
  <si>
    <t>申請書表紙運賃内容表示用</t>
    <rPh sb="0" eb="3">
      <t>シンセイショ</t>
    </rPh>
    <rPh sb="3" eb="5">
      <t>ヒョウシ</t>
    </rPh>
    <rPh sb="5" eb="7">
      <t>ウンチン</t>
    </rPh>
    <rPh sb="7" eb="9">
      <t>ナイヨウ</t>
    </rPh>
    <rPh sb="9" eb="11">
      <t>ヒョウジ</t>
    </rPh>
    <rPh sb="11" eb="12">
      <t>ヨウ</t>
    </rPh>
    <phoneticPr fontId="1"/>
  </si>
  <si>
    <t>車種区分内容を修正</t>
    <rPh sb="0" eb="2">
      <t>シャシュ</t>
    </rPh>
    <rPh sb="2" eb="4">
      <t>クブン</t>
    </rPh>
    <rPh sb="4" eb="6">
      <t>ナイヨウ</t>
    </rPh>
    <rPh sb="7" eb="9">
      <t>シュウセイ</t>
    </rPh>
    <phoneticPr fontId="1"/>
  </si>
  <si>
    <t>N列を小型・中型→普通車に変更された場合にN列を修正</t>
    <rPh sb="1" eb="2">
      <t>レツ</t>
    </rPh>
    <rPh sb="3" eb="5">
      <t>コガタ</t>
    </rPh>
    <rPh sb="6" eb="8">
      <t>チュウガタ</t>
    </rPh>
    <rPh sb="9" eb="12">
      <t>フツウシャ</t>
    </rPh>
    <rPh sb="13" eb="15">
      <t>ヘンコウ</t>
    </rPh>
    <rPh sb="18" eb="20">
      <t>バアイ</t>
    </rPh>
    <rPh sb="22" eb="23">
      <t>レツ</t>
    </rPh>
    <rPh sb="24" eb="26">
      <t>シュウセイ</t>
    </rPh>
    <phoneticPr fontId="1"/>
  </si>
  <si>
    <t>名前2シートで設定した車種区分名にX列を修正</t>
    <rPh sb="0" eb="2">
      <t>ナマエ</t>
    </rPh>
    <rPh sb="7" eb="9">
      <t>セッテイ</t>
    </rPh>
    <rPh sb="11" eb="13">
      <t>シャシュ</t>
    </rPh>
    <rPh sb="13" eb="15">
      <t>クブン</t>
    </rPh>
    <rPh sb="15" eb="16">
      <t>メイ</t>
    </rPh>
    <rPh sb="18" eb="19">
      <t>レツ</t>
    </rPh>
    <rPh sb="20" eb="22">
      <t>シュウセイ</t>
    </rPh>
    <phoneticPr fontId="1"/>
  </si>
  <si>
    <t>ブロック名に対応した府県名と運賃適用をM27:N40に記載する。</t>
    <rPh sb="4" eb="5">
      <t>メイ</t>
    </rPh>
    <rPh sb="6" eb="8">
      <t>タイオウ</t>
    </rPh>
    <rPh sb="10" eb="12">
      <t>フケン</t>
    </rPh>
    <rPh sb="12" eb="13">
      <t>メイ</t>
    </rPh>
    <rPh sb="14" eb="16">
      <t>ウンチン</t>
    </rPh>
    <rPh sb="16" eb="18">
      <t>テキヨウ</t>
    </rPh>
    <rPh sb="27" eb="29">
      <t>キサイ</t>
    </rPh>
    <phoneticPr fontId="1"/>
  </si>
  <si>
    <t>①運賃改定時</t>
    <rPh sb="1" eb="3">
      <t>ウンチン</t>
    </rPh>
    <rPh sb="3" eb="6">
      <t>カイテイジ</t>
    </rPh>
    <phoneticPr fontId="1"/>
  </si>
  <si>
    <t>②車種区分改正時</t>
    <rPh sb="1" eb="3">
      <t>シャシュ</t>
    </rPh>
    <rPh sb="3" eb="5">
      <t>クブン</t>
    </rPh>
    <rPh sb="5" eb="8">
      <t>カイセイジ</t>
    </rPh>
    <phoneticPr fontId="1"/>
  </si>
  <si>
    <t>③運賃ブロック改正時</t>
    <rPh sb="1" eb="3">
      <t>ウンチン</t>
    </rPh>
    <rPh sb="7" eb="10">
      <t>カイセイジ</t>
    </rPh>
    <phoneticPr fontId="1"/>
  </si>
  <si>
    <t>①、②と同様の作業を行う。</t>
    <rPh sb="4" eb="6">
      <t>ドウヨウ</t>
    </rPh>
    <rPh sb="7" eb="9">
      <t>サギョウ</t>
    </rPh>
    <rPh sb="10" eb="11">
      <t>オコナ</t>
    </rPh>
    <phoneticPr fontId="1"/>
  </si>
  <si>
    <t>名前2シート</t>
    <rPh sb="0" eb="2">
      <t>ナマエ</t>
    </rPh>
    <phoneticPr fontId="1"/>
  </si>
  <si>
    <t>設定2</t>
    <rPh sb="0" eb="2">
      <t>セッテイ</t>
    </rPh>
    <phoneticPr fontId="1"/>
  </si>
  <si>
    <t>（改正があった場合）初乗距離、時間制運賃の初乗時間・加算時間を修正</t>
    <rPh sb="10" eb="12">
      <t>ハツノ</t>
    </rPh>
    <rPh sb="12" eb="14">
      <t>キョリ</t>
    </rPh>
    <rPh sb="15" eb="18">
      <t>ジカンセイ</t>
    </rPh>
    <rPh sb="18" eb="20">
      <t>ウンチン</t>
    </rPh>
    <rPh sb="21" eb="23">
      <t>ハツノ</t>
    </rPh>
    <rPh sb="23" eb="25">
      <t>ジカン</t>
    </rPh>
    <rPh sb="26" eb="28">
      <t>カサン</t>
    </rPh>
    <rPh sb="28" eb="30">
      <t>ジカン</t>
    </rPh>
    <rPh sb="31" eb="33">
      <t>シュウセイ</t>
    </rPh>
    <phoneticPr fontId="1"/>
  </si>
  <si>
    <t>ブロック名と同名の自動認可運賃表シートを新運賃に修正する。</t>
    <rPh sb="4" eb="5">
      <t>メイ</t>
    </rPh>
    <rPh sb="6" eb="8">
      <t>ドウメイ</t>
    </rPh>
    <rPh sb="9" eb="11">
      <t>ジドウ</t>
    </rPh>
    <rPh sb="11" eb="13">
      <t>ニンカ</t>
    </rPh>
    <rPh sb="13" eb="16">
      <t>ウンチンヒョウ</t>
    </rPh>
    <rPh sb="20" eb="23">
      <t>シンウンチン</t>
    </rPh>
    <rPh sb="24" eb="26">
      <t>シュウセイ</t>
    </rPh>
    <phoneticPr fontId="1"/>
  </si>
  <si>
    <t>自動認可運賃表シートを参照している範囲について、Y列/AD列は設定判定セル（初期値は「無」）、</t>
    <rPh sb="0" eb="2">
      <t>ジドウ</t>
    </rPh>
    <rPh sb="2" eb="4">
      <t>ニンカ</t>
    </rPh>
    <rPh sb="4" eb="7">
      <t>ウンチンヒョウ</t>
    </rPh>
    <rPh sb="11" eb="13">
      <t>サンショウ</t>
    </rPh>
    <rPh sb="17" eb="19">
      <t>ハンイ</t>
    </rPh>
    <rPh sb="25" eb="26">
      <t>レツ</t>
    </rPh>
    <rPh sb="29" eb="30">
      <t>レツ</t>
    </rPh>
    <rPh sb="31" eb="33">
      <t>セッテイ</t>
    </rPh>
    <rPh sb="33" eb="35">
      <t>ハンテイ</t>
    </rPh>
    <rPh sb="38" eb="41">
      <t>ショキチ</t>
    </rPh>
    <rPh sb="43" eb="44">
      <t>ナ</t>
    </rPh>
    <phoneticPr fontId="1"/>
  </si>
  <si>
    <t>Z列/AE列は各車種区分の上限運賃から下限運賃をカバーしている範囲のセル指定に置き換える。</t>
    <rPh sb="1" eb="2">
      <t>レツ</t>
    </rPh>
    <rPh sb="5" eb="6">
      <t>レツ</t>
    </rPh>
    <rPh sb="7" eb="10">
      <t>カクシャシュ</t>
    </rPh>
    <rPh sb="10" eb="12">
      <t>クブン</t>
    </rPh>
    <rPh sb="13" eb="15">
      <t>ジョウゲン</t>
    </rPh>
    <rPh sb="15" eb="17">
      <t>ウンチン</t>
    </rPh>
    <rPh sb="19" eb="21">
      <t>カゲン</t>
    </rPh>
    <rPh sb="21" eb="23">
      <t>ウンチン</t>
    </rPh>
    <rPh sb="31" eb="33">
      <t>ハンイ</t>
    </rPh>
    <rPh sb="36" eb="38">
      <t>シテイ</t>
    </rPh>
    <rPh sb="39" eb="40">
      <t>オ</t>
    </rPh>
    <rPh sb="41" eb="42">
      <t>カ</t>
    </rPh>
    <phoneticPr fontId="1"/>
  </si>
  <si>
    <t>設定１</t>
    <phoneticPr fontId="1"/>
  </si>
  <si>
    <t>ブロック名運賃シート</t>
    <rPh sb="4" eb="5">
      <t>メイ</t>
    </rPh>
    <rPh sb="5" eb="7">
      <t>ウンチン</t>
    </rPh>
    <phoneticPr fontId="1"/>
  </si>
  <si>
    <t>手引きシートB27:B40のブロック名を修正し、同名の自動認可運賃表のシートを作成する(もしくは既存のシートどれかを修正)。</t>
    <rPh sb="0" eb="2">
      <t>テビ</t>
    </rPh>
    <rPh sb="18" eb="19">
      <t>メイ</t>
    </rPh>
    <rPh sb="20" eb="22">
      <t>シュウセイ</t>
    </rPh>
    <rPh sb="24" eb="26">
      <t>ドウメイ</t>
    </rPh>
    <rPh sb="27" eb="29">
      <t>ジドウ</t>
    </rPh>
    <rPh sb="29" eb="31">
      <t>ニンカ</t>
    </rPh>
    <rPh sb="31" eb="33">
      <t>ウンチン</t>
    </rPh>
    <rPh sb="33" eb="34">
      <t>ヒョウ</t>
    </rPh>
    <rPh sb="39" eb="41">
      <t>サクセイ</t>
    </rPh>
    <rPh sb="48" eb="50">
      <t>キゾン</t>
    </rPh>
    <rPh sb="58" eb="60">
      <t>シュウセイ</t>
    </rPh>
    <phoneticPr fontId="1"/>
  </si>
  <si>
    <t>神戸市域</t>
  </si>
  <si>
    <t>神戸市域!$A$8</t>
  </si>
  <si>
    <t>神戸市域!$A$9:$Z$15</t>
  </si>
  <si>
    <t>神戸市域!$O$8</t>
  </si>
  <si>
    <t>神戸市域!$O$9:$Z$15</t>
  </si>
  <si>
    <t>神戸市域!$A$19</t>
  </si>
  <si>
    <t>神戸市域!$A$20:$Z$26</t>
  </si>
  <si>
    <t>神戸市域!$O$19</t>
  </si>
  <si>
    <t>神戸市域!$O$20:$Z$26</t>
  </si>
  <si>
    <t>神戸市域!$A$30</t>
  </si>
  <si>
    <t>神戸市域!$A$31:$Z$37</t>
  </si>
  <si>
    <t>神戸市域!$O$30</t>
  </si>
  <si>
    <t>神戸市域!$O$31:$Z$37</t>
  </si>
  <si>
    <t>神　戸　市　域　地　区　　　　運　賃　・　料　金</t>
    <rPh sb="4" eb="5">
      <t>シ</t>
    </rPh>
    <rPh sb="6" eb="7">
      <t>イキ</t>
    </rPh>
    <phoneticPr fontId="2"/>
  </si>
  <si>
    <t>車両入替に備えて、導入予定車両以外の車種区分も全て設定してください。</t>
    <rPh sb="9" eb="13">
      <t>ドウニュウヨテイ</t>
    </rPh>
    <rPh sb="13" eb="15">
      <t>シャリョウ</t>
    </rPh>
    <rPh sb="18" eb="20">
      <t>シャシュ</t>
    </rPh>
    <rPh sb="23" eb="24">
      <t>スベ</t>
    </rPh>
    <phoneticPr fontId="2"/>
  </si>
  <si>
    <t>神戸市域</t>
    <rPh sb="2" eb="4">
      <t>シイキ</t>
    </rPh>
    <phoneticPr fontId="1"/>
  </si>
  <si>
    <t>滋賀!$O$8</t>
    <rPh sb="0" eb="2">
      <t>シガ</t>
    </rPh>
    <phoneticPr fontId="1"/>
  </si>
  <si>
    <t>兵庫</t>
    <rPh sb="0" eb="2">
      <t>ヒョウゴ</t>
    </rPh>
    <phoneticPr fontId="1"/>
  </si>
  <si>
    <t>和歌山</t>
    <phoneticPr fontId="1"/>
  </si>
  <si>
    <t>和歌山県</t>
    <phoneticPr fontId="1"/>
  </si>
  <si>
    <t>和　　歌　　山　　地　　区　　　　運　　賃　　・　　料　　金</t>
    <rPh sb="0" eb="1">
      <t>ワ</t>
    </rPh>
    <rPh sb="3" eb="4">
      <t>ウタ</t>
    </rPh>
    <rPh sb="6" eb="7">
      <t>ヤマ</t>
    </rPh>
    <rPh sb="9" eb="10">
      <t>チ</t>
    </rPh>
    <rPh sb="12" eb="13">
      <t>ク</t>
    </rPh>
    <rPh sb="17" eb="18">
      <t>ウン</t>
    </rPh>
    <rPh sb="20" eb="21">
      <t>チン</t>
    </rPh>
    <rPh sb="26" eb="27">
      <t>リョウ</t>
    </rPh>
    <rPh sb="29" eb="30">
      <t>キン</t>
    </rPh>
    <phoneticPr fontId="2"/>
  </si>
  <si>
    <t>Ｈ運賃</t>
    <phoneticPr fontId="2"/>
  </si>
  <si>
    <t>Ｉ運賃</t>
    <phoneticPr fontId="2"/>
  </si>
  <si>
    <t>（30分）</t>
    <rPh sb="3" eb="4">
      <t>フン</t>
    </rPh>
    <phoneticPr fontId="2"/>
  </si>
  <si>
    <t>Ｂ運賃</t>
    <phoneticPr fontId="2"/>
  </si>
  <si>
    <t>和歌山!$A$8</t>
    <phoneticPr fontId="1"/>
  </si>
  <si>
    <t>和歌山!$O$8</t>
    <phoneticPr fontId="1"/>
  </si>
  <si>
    <t>和歌山!$A$9:$Z$18</t>
    <phoneticPr fontId="1"/>
  </si>
  <si>
    <t>和歌山!$O$9:$Z$18</t>
    <phoneticPr fontId="1"/>
  </si>
  <si>
    <t>和歌山!$A$22</t>
    <phoneticPr fontId="1"/>
  </si>
  <si>
    <t>和歌山!$A$36</t>
    <phoneticPr fontId="1"/>
  </si>
  <si>
    <t>和歌山!$O$22</t>
    <phoneticPr fontId="1"/>
  </si>
  <si>
    <t>和歌山!$O$36</t>
    <phoneticPr fontId="1"/>
  </si>
  <si>
    <t>和歌山!$A$23:$Z$32</t>
    <phoneticPr fontId="1"/>
  </si>
  <si>
    <t>和歌山!$O$23:$Z$32</t>
    <phoneticPr fontId="1"/>
  </si>
  <si>
    <t>和歌山!$A$37:$Z$46</t>
    <phoneticPr fontId="1"/>
  </si>
  <si>
    <t>和歌山!$O$37:$Z$46</t>
    <phoneticPr fontId="1"/>
  </si>
  <si>
    <t>兵　庫　地　区　　　　運　賃　・　料　金</t>
    <rPh sb="0" eb="1">
      <t>ヘイ</t>
    </rPh>
    <rPh sb="2" eb="3">
      <t>コ</t>
    </rPh>
    <rPh sb="4" eb="5">
      <t>チ</t>
    </rPh>
    <rPh sb="6" eb="7">
      <t>ク</t>
    </rPh>
    <rPh sb="11" eb="12">
      <t>ウン</t>
    </rPh>
    <rPh sb="13" eb="14">
      <t>チン</t>
    </rPh>
    <rPh sb="17" eb="18">
      <t>リョウ</t>
    </rPh>
    <rPh sb="19" eb="20">
      <t>キン</t>
    </rPh>
    <phoneticPr fontId="2"/>
  </si>
  <si>
    <t>兵庫!$A$8</t>
  </si>
  <si>
    <t>兵庫!$O$20</t>
    <phoneticPr fontId="1"/>
  </si>
  <si>
    <t>兵庫!$A$20</t>
    <phoneticPr fontId="1"/>
  </si>
  <si>
    <t>兵庫!$A$32</t>
    <phoneticPr fontId="1"/>
  </si>
  <si>
    <t>兵庫!$O$8</t>
    <phoneticPr fontId="1"/>
  </si>
  <si>
    <t>兵庫!$O$32</t>
    <phoneticPr fontId="1"/>
  </si>
  <si>
    <t>兵庫!$O$9:$Z$16</t>
    <phoneticPr fontId="1"/>
  </si>
  <si>
    <t>兵庫!$A$9:$Z$16</t>
    <phoneticPr fontId="1"/>
  </si>
  <si>
    <t>兵庫!$A$21:$Z$28</t>
    <phoneticPr fontId="1"/>
  </si>
  <si>
    <t>兵庫!$O$21:$Z$28</t>
    <phoneticPr fontId="1"/>
  </si>
  <si>
    <t>兵庫!$A$33:$Z$39</t>
    <phoneticPr fontId="1"/>
  </si>
  <si>
    <t>兵庫!$O$33:$Z$39</t>
    <phoneticPr fontId="1"/>
  </si>
  <si>
    <t>普通</t>
    <rPh sb="0" eb="2">
      <t>フツウ</t>
    </rPh>
    <phoneticPr fontId="1"/>
  </si>
  <si>
    <t>奈良県</t>
    <rPh sb="0" eb="2">
      <t>ナラ</t>
    </rPh>
    <rPh sb="2" eb="3">
      <t>ケン</t>
    </rPh>
    <phoneticPr fontId="1"/>
  </si>
  <si>
    <t>和歌山県</t>
    <rPh sb="0" eb="3">
      <t>ワカヤマ</t>
    </rPh>
    <rPh sb="3" eb="4">
      <t>ケン</t>
    </rPh>
    <phoneticPr fontId="1"/>
  </si>
  <si>
    <t>距離制設定</t>
    <rPh sb="0" eb="2">
      <t>キョリ</t>
    </rPh>
    <rPh sb="2" eb="3">
      <t>セイ</t>
    </rPh>
    <rPh sb="3" eb="5">
      <t>セッテイ</t>
    </rPh>
    <phoneticPr fontId="1"/>
  </si>
  <si>
    <t>時間制設定</t>
    <rPh sb="0" eb="3">
      <t>ジカンセイ</t>
    </rPh>
    <rPh sb="3" eb="5">
      <t>セッテイ</t>
    </rPh>
    <phoneticPr fontId="1"/>
  </si>
  <si>
    <t>エラー判定</t>
    <rPh sb="3" eb="5">
      <t>ハンテイ</t>
    </rPh>
    <phoneticPr fontId="1"/>
  </si>
  <si>
    <t>↑対象車種区分のみご記入ください</t>
    <rPh sb="1" eb="3">
      <t>タイショウ</t>
    </rPh>
    <rPh sb="3" eb="5">
      <t>シャシュ</t>
    </rPh>
    <rPh sb="5" eb="7">
      <t>クブン</t>
    </rPh>
    <rPh sb="10" eb="12">
      <t>キニュウ</t>
    </rPh>
    <phoneticPr fontId="1"/>
  </si>
  <si>
    <t>※令和8年7月更新様式</t>
    <phoneticPr fontId="1"/>
  </si>
  <si>
    <t>づき近畿運輸局長が公示する地域においては、軽自動車と</t>
    <rPh sb="2" eb="4">
      <t>キンキ</t>
    </rPh>
    <rPh sb="4" eb="6">
      <t>ウンユ</t>
    </rPh>
    <rPh sb="6" eb="8">
      <t>キョクチョウ</t>
    </rPh>
    <rPh sb="9" eb="11">
      <t>コウジ</t>
    </rPh>
    <rPh sb="13" eb="15">
      <t>チイキ</t>
    </rPh>
    <rPh sb="21" eb="25">
      <t>ケイジドウシャ</t>
    </rPh>
    <phoneticPr fontId="1"/>
  </si>
  <si>
    <t>する。</t>
    <phoneticPr fontId="1"/>
  </si>
  <si>
    <t>１　自動車検査証に記載されている諸元を基準とする。</t>
    <phoneticPr fontId="1"/>
  </si>
  <si>
    <t>者輸送車である特種自動車については、上記の車種区分に</t>
    <rPh sb="18" eb="20">
      <t>ジョウキ</t>
    </rPh>
    <rPh sb="21" eb="23">
      <t>シャシュ</t>
    </rPh>
    <rPh sb="23" eb="25">
      <t>クブン</t>
    </rPh>
    <phoneticPr fontId="1"/>
  </si>
  <si>
    <t>よらず、以下の区分を適用する。</t>
    <phoneticPr fontId="1"/>
  </si>
  <si>
    <t>以下「軽自動車」という。）のうち、内燃機関を搭載し</t>
    <rPh sb="0" eb="2">
      <t>イカ</t>
    </rPh>
    <phoneticPr fontId="1"/>
  </si>
  <si>
    <t>ないもの又は福祉輸送サービスの用に供するものに限る。</t>
    <phoneticPr fontId="1"/>
  </si>
  <si>
    <t>兵庫県豊岡市　丹波篠山市　養父市　朝来市　丹波市　美方郡</t>
    <rPh sb="7" eb="9">
      <t>タンバ</t>
    </rPh>
    <rPh sb="9" eb="11">
      <t>ササヤマ</t>
    </rPh>
    <rPh sb="11" eb="12">
      <t>シ</t>
    </rPh>
    <phoneticPr fontId="1"/>
  </si>
  <si>
    <t>（令和８年６月１日付け国自旅第３７号）別紙１．に基</t>
    <rPh sb="1" eb="3">
      <t>レイワ</t>
    </rPh>
    <rPh sb="4" eb="5">
      <t>ネン</t>
    </rPh>
    <rPh sb="6" eb="7">
      <t>ガツ</t>
    </rPh>
    <rPh sb="8" eb="9">
      <t>ニチ</t>
    </rPh>
    <rPh sb="9" eb="10">
      <t>ヅ</t>
    </rPh>
    <rPh sb="11" eb="12">
      <t>クニ</t>
    </rPh>
    <rPh sb="12" eb="13">
      <t>ジ</t>
    </rPh>
    <rPh sb="13" eb="14">
      <t>タビ</t>
    </rPh>
    <rPh sb="14" eb="15">
      <t>ダイ</t>
    </rPh>
    <rPh sb="17" eb="18">
      <t>ゴウ</t>
    </rPh>
    <rPh sb="19" eb="21">
      <t>ベッシ</t>
    </rPh>
    <rPh sb="24" eb="25">
      <t>モト</t>
    </rPh>
    <phoneticPr fontId="1"/>
  </si>
  <si>
    <t>ただし、「タクシー事業における軽自動車の活用について」</t>
    <rPh sb="9" eb="11">
      <t>ジギョウ</t>
    </rPh>
    <rPh sb="15" eb="19">
      <t>ケイジドウシャ</t>
    </rPh>
    <rPh sb="20" eb="22">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</si>
</sst>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General&quot;分&quot;\)"/>
    <numFmt numFmtId="178" formatCode="#,##0_ "/>
    <numFmt numFmtId="179" formatCode="#,##0_);[Red]\(#,##0\)"/>
    <numFmt numFmtId="180" formatCode="0.0_ "/>
    <numFmt numFmtId="181" formatCode="[$-F800]dddd\,\ mmmm\ dd\,\ yyyy"/>
    <numFmt numFmtId="182" formatCode="&quot;加&quot;&quot;算&quot;&quot;運&quot;&quot;賃&quot;\ \ \(General&quot;分&quot;\)"/>
  </numFmts>
  <fonts count="3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1"/>
      <color rgb="FFFF0000"/>
      <name val="ＭＳ Ｐゴシック"/>
      <family val="3"/>
      <charset val="128"/>
    </font>
    <font>
      <sz val="10.5"/>
      <color rgb="FF000000"/>
      <name val="ＭＳ 明朝"/>
      <family val="1"/>
      <charset val="128"/>
    </font>
    <font>
      <sz val="10.5"/>
      <name val="ＭＳ 明朝"/>
      <family val="1"/>
      <charset val="128"/>
    </font>
    <font>
      <sz val="11"/>
      <color theme="1"/>
      <name val="ＭＳ 明朝"/>
      <family val="1"/>
      <charset val="128"/>
    </font>
    <font>
      <u/>
      <sz val="10.5"/>
      <color rgb="FF000000"/>
      <name val="ＭＳ 明朝"/>
      <family val="1"/>
      <charset val="128"/>
    </font>
    <font>
      <u/>
      <sz val="10.5"/>
      <name val="ＭＳ 明朝"/>
      <family val="1"/>
      <charset val="128"/>
    </font>
    <font>
      <sz val="6"/>
      <name val="ＭＳ Ｐ明朝"/>
      <family val="1"/>
      <charset val="128"/>
    </font>
    <font>
      <b/>
      <sz val="12"/>
      <name val="ＭＳ Ｐゴシック"/>
      <family val="3"/>
      <charset val="128"/>
    </font>
    <font>
      <u/>
      <sz val="11"/>
      <color theme="10"/>
      <name val="ＭＳ Ｐゴシック"/>
      <family val="2"/>
      <scheme val="minor"/>
    </font>
    <font>
      <sz val="11"/>
      <name val="ＭＳ 明朝"/>
      <family val="1"/>
      <charset val="128"/>
    </font>
    <font>
      <u/>
      <sz val="11"/>
      <color theme="1"/>
      <name val="ＭＳ 明朝"/>
      <family val="1"/>
      <charset val="128"/>
    </font>
    <font>
      <u/>
      <sz val="11"/>
      <name val="ＭＳ Ｐゴシック"/>
      <family val="3"/>
      <charset val="128"/>
    </font>
    <font>
      <sz val="11"/>
      <color rgb="FF000000"/>
      <name val="ＭＳ 明朝"/>
      <family val="1"/>
      <charset val="128"/>
    </font>
    <font>
      <sz val="10"/>
      <color theme="1"/>
      <name val="ＭＳ 明朝"/>
      <family val="1"/>
      <charset val="128"/>
    </font>
    <font>
      <u/>
      <sz val="10"/>
      <color theme="1"/>
      <name val="ＭＳ 明朝"/>
      <family val="1"/>
      <charset val="128"/>
    </font>
    <font>
      <sz val="10"/>
      <color rgb="FF000000"/>
      <name val="ＭＳ 明朝"/>
      <family val="1"/>
      <charset val="128"/>
    </font>
    <font>
      <sz val="11"/>
      <color theme="0"/>
      <name val="ＭＳ 明朝"/>
      <family val="1"/>
      <charset val="128"/>
    </font>
    <font>
      <sz val="11"/>
      <color theme="1"/>
      <name val="Meiryo UI"/>
      <family val="3"/>
      <charset val="128"/>
    </font>
    <font>
      <sz val="11"/>
      <name val="Meiryo UI"/>
      <family val="3"/>
      <charset val="128"/>
    </font>
    <font>
      <sz val="11"/>
      <color rgb="FFFF0000"/>
      <name val="Meiryo UI"/>
      <family val="3"/>
      <charset val="128"/>
    </font>
    <font>
      <sz val="10"/>
      <color theme="1"/>
      <name val="Meiryo UI"/>
      <family val="3"/>
      <charset val="128"/>
    </font>
    <font>
      <sz val="8"/>
      <color theme="1"/>
      <name val="Meiryo UI"/>
      <family val="3"/>
      <charset val="128"/>
    </font>
    <font>
      <sz val="22"/>
      <color rgb="FFFF0000"/>
      <name val="Meiryo UI"/>
      <family val="3"/>
      <charset val="128"/>
    </font>
    <font>
      <sz val="11"/>
      <color theme="0"/>
      <name val="ＭＳ Ｐゴシック"/>
      <family val="3"/>
      <charset val="128"/>
    </font>
    <font>
      <sz val="10"/>
      <color rgb="FFFF0000"/>
      <name val="Meiryo UI"/>
      <family val="3"/>
      <charset val="128"/>
    </font>
    <font>
      <b/>
      <sz val="11"/>
      <color rgb="FFFF0000"/>
      <name val="Meiryo UI"/>
      <family val="3"/>
      <charset val="128"/>
    </font>
    <font>
      <b/>
      <sz val="11"/>
      <color rgb="FFFF0000"/>
      <name val="ＭＳ Ｐゴシック"/>
      <family val="3"/>
      <charset val="128"/>
    </font>
    <font>
      <sz val="11"/>
      <color theme="0"/>
      <name val="Meiryo UI"/>
      <family val="3"/>
      <charset val="128"/>
    </font>
    <font>
      <sz val="8"/>
      <name val="ＭＳ Ｐゴシック"/>
      <family val="3"/>
      <charset val="128"/>
    </font>
    <font>
      <sz val="9"/>
      <color theme="1"/>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00B0F0"/>
        <bgColor indexed="64"/>
      </patternFill>
    </fill>
    <fill>
      <patternFill patternType="solid">
        <fgColor theme="0"/>
        <bgColor indexed="64"/>
      </patternFill>
    </fill>
  </fills>
  <borders count="84">
    <border>
      <left/>
      <right/>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double">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uble">
        <color indexed="64"/>
      </top>
      <bottom style="thin">
        <color indexed="64"/>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style="medium">
        <color indexed="64"/>
      </right>
      <top/>
      <bottom/>
      <diagonal/>
    </border>
  </borders>
  <cellStyleXfs count="5">
    <xf numFmtId="0" fontId="0" fillId="0" borderId="0"/>
    <xf numFmtId="0" fontId="3" fillId="0" borderId="0"/>
    <xf numFmtId="38" fontId="3" fillId="0" borderId="0" applyFont="0" applyFill="0" applyBorder="0" applyAlignment="0" applyProtection="0"/>
    <xf numFmtId="0" fontId="3" fillId="0" borderId="0">
      <alignment vertical="center"/>
    </xf>
    <xf numFmtId="0" fontId="14" fillId="0" borderId="0" applyNumberFormat="0" applyFill="0" applyBorder="0" applyAlignment="0" applyProtection="0"/>
  </cellStyleXfs>
  <cellXfs count="607">
    <xf numFmtId="0" fontId="0" fillId="0" borderId="0" xfId="0"/>
    <xf numFmtId="0" fontId="3" fillId="0" borderId="0" xfId="1" applyFill="1"/>
    <xf numFmtId="0" fontId="3" fillId="0" borderId="0" xfId="1" applyFill="1" applyAlignment="1"/>
    <xf numFmtId="0" fontId="3" fillId="0" borderId="0" xfId="1" applyFill="1" applyAlignment="1">
      <alignment horizontal="center"/>
    </xf>
    <xf numFmtId="0" fontId="3" fillId="0" borderId="0" xfId="1" applyNumberFormat="1" applyFill="1" applyAlignment="1"/>
    <xf numFmtId="0" fontId="4" fillId="0" borderId="7" xfId="1" applyFont="1" applyFill="1" applyBorder="1" applyAlignment="1">
      <alignment horizontal="center"/>
    </xf>
    <xf numFmtId="0" fontId="3" fillId="0" borderId="0" xfId="1" applyFill="1" applyBorder="1" applyAlignment="1">
      <alignment horizontal="center" vertical="top" wrapText="1"/>
    </xf>
    <xf numFmtId="0" fontId="3" fillId="0" borderId="0" xfId="1" applyFill="1" applyBorder="1" applyAlignment="1">
      <alignment horizontal="center" wrapText="1"/>
    </xf>
    <xf numFmtId="0" fontId="3" fillId="0" borderId="16" xfId="1" applyFill="1" applyBorder="1" applyAlignment="1">
      <alignment horizontal="center"/>
    </xf>
    <xf numFmtId="0" fontId="3" fillId="0" borderId="17" xfId="1" applyFill="1" applyBorder="1" applyAlignment="1"/>
    <xf numFmtId="0" fontId="3" fillId="0" borderId="18" xfId="1" applyFill="1" applyBorder="1"/>
    <xf numFmtId="0" fontId="3" fillId="0" borderId="19" xfId="1" applyFill="1" applyBorder="1"/>
    <xf numFmtId="0" fontId="3" fillId="0" borderId="20" xfId="1" applyFill="1" applyBorder="1"/>
    <xf numFmtId="0" fontId="3" fillId="0" borderId="17" xfId="1" applyFill="1" applyBorder="1"/>
    <xf numFmtId="0" fontId="3" fillId="0" borderId="21" xfId="1" applyFill="1" applyBorder="1"/>
    <xf numFmtId="0" fontId="3" fillId="0" borderId="22" xfId="1" applyNumberFormat="1" applyFill="1" applyBorder="1"/>
    <xf numFmtId="1" fontId="3" fillId="0" borderId="22" xfId="1" applyNumberFormat="1" applyFill="1" applyBorder="1"/>
    <xf numFmtId="0" fontId="3" fillId="0" borderId="22" xfId="1" applyFill="1" applyBorder="1" applyAlignment="1">
      <alignment horizontal="left"/>
    </xf>
    <xf numFmtId="0" fontId="3" fillId="0" borderId="23" xfId="1" applyFill="1" applyBorder="1"/>
    <xf numFmtId="38" fontId="3" fillId="0" borderId="19" xfId="2" applyFill="1" applyBorder="1" applyAlignment="1">
      <alignment horizontal="right"/>
    </xf>
    <xf numFmtId="0" fontId="3" fillId="0" borderId="0" xfId="1" applyFill="1" applyBorder="1"/>
    <xf numFmtId="0" fontId="3" fillId="0" borderId="24" xfId="1" applyFill="1" applyBorder="1" applyAlignment="1">
      <alignment horizontal="center"/>
    </xf>
    <xf numFmtId="0" fontId="3" fillId="0" borderId="25" xfId="1" applyFill="1" applyBorder="1"/>
    <xf numFmtId="0" fontId="3" fillId="0" borderId="26" xfId="1" applyFill="1" applyBorder="1"/>
    <xf numFmtId="38" fontId="3" fillId="0" borderId="27" xfId="2" applyFont="1" applyFill="1" applyBorder="1" applyAlignment="1">
      <alignment horizontal="right"/>
    </xf>
    <xf numFmtId="0" fontId="3" fillId="0" borderId="28" xfId="1" applyFill="1" applyBorder="1"/>
    <xf numFmtId="0" fontId="3" fillId="0" borderId="29" xfId="1" applyFill="1" applyBorder="1"/>
    <xf numFmtId="0" fontId="3" fillId="0" borderId="30" xfId="1" applyFill="1" applyBorder="1"/>
    <xf numFmtId="38" fontId="3" fillId="0" borderId="31" xfId="2" applyFont="1" applyFill="1" applyBorder="1" applyAlignment="1">
      <alignment horizontal="right"/>
    </xf>
    <xf numFmtId="0" fontId="3" fillId="0" borderId="32" xfId="1" applyFill="1" applyBorder="1"/>
    <xf numFmtId="0" fontId="3" fillId="0" borderId="0" xfId="1" applyNumberFormat="1" applyFill="1" applyBorder="1"/>
    <xf numFmtId="1" fontId="3" fillId="0" borderId="0" xfId="1" applyNumberFormat="1" applyFill="1" applyBorder="1"/>
    <xf numFmtId="0" fontId="3" fillId="0" borderId="0" xfId="1" applyFill="1" applyBorder="1" applyAlignment="1">
      <alignment horizontal="left"/>
    </xf>
    <xf numFmtId="0" fontId="3" fillId="0" borderId="33" xfId="1" applyFill="1" applyBorder="1"/>
    <xf numFmtId="0" fontId="3" fillId="0" borderId="27" xfId="1" applyFill="1" applyBorder="1"/>
    <xf numFmtId="0" fontId="3" fillId="0" borderId="25" xfId="1" applyNumberFormat="1" applyFill="1" applyBorder="1"/>
    <xf numFmtId="1" fontId="3" fillId="0" borderId="25" xfId="1" applyNumberFormat="1" applyFill="1" applyBorder="1"/>
    <xf numFmtId="0" fontId="3" fillId="0" borderId="25" xfId="1" applyFill="1" applyBorder="1" applyAlignment="1">
      <alignment horizontal="left"/>
    </xf>
    <xf numFmtId="0" fontId="3" fillId="0" borderId="34" xfId="1" applyFill="1" applyBorder="1" applyAlignment="1">
      <alignment horizontal="center"/>
    </xf>
    <xf numFmtId="0" fontId="3" fillId="0" borderId="35" xfId="1" applyFill="1" applyBorder="1"/>
    <xf numFmtId="0" fontId="3" fillId="0" borderId="36" xfId="1" applyFill="1" applyBorder="1"/>
    <xf numFmtId="0" fontId="3" fillId="0" borderId="38" xfId="1" applyFill="1" applyBorder="1"/>
    <xf numFmtId="0" fontId="3" fillId="0" borderId="38" xfId="1" applyNumberFormat="1" applyFill="1" applyBorder="1"/>
    <xf numFmtId="0" fontId="3" fillId="0" borderId="38" xfId="1" applyFill="1" applyBorder="1" applyAlignment="1">
      <alignment horizontal="left"/>
    </xf>
    <xf numFmtId="0" fontId="3" fillId="0" borderId="39" xfId="1" applyFill="1" applyBorder="1"/>
    <xf numFmtId="0" fontId="3" fillId="0" borderId="0" xfId="1" applyAlignment="1"/>
    <xf numFmtId="0" fontId="3" fillId="0" borderId="0" xfId="1" applyBorder="1" applyAlignment="1"/>
    <xf numFmtId="0" fontId="3" fillId="0" borderId="0" xfId="1" applyBorder="1" applyAlignment="1">
      <alignment horizontal="left"/>
    </xf>
    <xf numFmtId="0" fontId="3" fillId="0" borderId="42" xfId="1" applyFill="1" applyBorder="1"/>
    <xf numFmtId="38" fontId="3" fillId="0" borderId="41" xfId="2" applyFont="1" applyFill="1" applyBorder="1" applyAlignment="1">
      <alignment horizontal="right"/>
    </xf>
    <xf numFmtId="0" fontId="3" fillId="0" borderId="47" xfId="1" applyFill="1" applyBorder="1" applyAlignment="1">
      <alignment horizontal="center"/>
    </xf>
    <xf numFmtId="0" fontId="7" fillId="0" borderId="0" xfId="0" applyFont="1" applyAlignment="1">
      <alignment vertical="center"/>
    </xf>
    <xf numFmtId="0" fontId="9" fillId="0" borderId="0" xfId="0" applyFont="1"/>
    <xf numFmtId="49" fontId="9" fillId="0" borderId="0" xfId="0" applyNumberFormat="1" applyFont="1"/>
    <xf numFmtId="0" fontId="9" fillId="0" borderId="0" xfId="0" applyFont="1" applyAlignment="1">
      <alignment horizontal="right"/>
    </xf>
    <xf numFmtId="0" fontId="3" fillId="0" borderId="0" xfId="1" applyFill="1" applyAlignment="1">
      <alignment horizontal="center"/>
    </xf>
    <xf numFmtId="0" fontId="3" fillId="0" borderId="0" xfId="1" applyFill="1" applyAlignment="1">
      <alignment horizontal="center" vertical="center"/>
    </xf>
    <xf numFmtId="0" fontId="4" fillId="0" borderId="7" xfId="1" applyFont="1" applyFill="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3" fillId="0" borderId="0" xfId="3" applyFont="1" applyAlignment="1"/>
    <xf numFmtId="0" fontId="3" fillId="0" borderId="0" xfId="3">
      <alignment vertical="center"/>
    </xf>
    <xf numFmtId="0" fontId="3" fillId="0" borderId="0" xfId="3" applyAlignment="1"/>
    <xf numFmtId="0" fontId="5" fillId="0" borderId="0" xfId="3" applyFont="1" applyAlignment="1"/>
    <xf numFmtId="0" fontId="13" fillId="0" borderId="0" xfId="3" applyFont="1" applyAlignment="1">
      <alignment horizontal="center"/>
    </xf>
    <xf numFmtId="0" fontId="4" fillId="0" borderId="0" xfId="3" applyFont="1" applyAlignment="1"/>
    <xf numFmtId="0" fontId="3" fillId="0" borderId="0" xfId="3" applyFont="1" applyAlignment="1">
      <alignment horizontal="center"/>
    </xf>
    <xf numFmtId="0" fontId="8" fillId="0" borderId="0" xfId="0" applyFont="1" applyAlignment="1">
      <alignment vertical="center"/>
    </xf>
    <xf numFmtId="0" fontId="15" fillId="0" borderId="0" xfId="0" applyFont="1" applyAlignment="1">
      <alignment vertical="center"/>
    </xf>
    <xf numFmtId="0" fontId="16" fillId="0" borderId="0" xfId="0" applyFont="1"/>
    <xf numFmtId="0" fontId="9" fillId="0" borderId="0" xfId="0" quotePrefix="1" applyFont="1" applyAlignment="1">
      <alignment horizontal="right"/>
    </xf>
    <xf numFmtId="0" fontId="9" fillId="0" borderId="0" xfId="0" applyFont="1" applyAlignment="1">
      <alignment shrinkToFit="1"/>
    </xf>
    <xf numFmtId="0" fontId="3" fillId="0" borderId="0" xfId="3" applyFont="1" applyAlignment="1">
      <alignment horizontal="distributed"/>
    </xf>
    <xf numFmtId="0" fontId="9" fillId="0" borderId="0" xfId="0" applyFont="1" applyAlignment="1">
      <alignment vertical="top" wrapText="1"/>
    </xf>
    <xf numFmtId="0" fontId="17" fillId="0" borderId="0" xfId="3" applyFont="1" applyAlignment="1"/>
    <xf numFmtId="0" fontId="18" fillId="0" borderId="0" xfId="0" applyFont="1" applyAlignment="1">
      <alignment vertical="center"/>
    </xf>
    <xf numFmtId="0" fontId="7" fillId="0" borderId="0" xfId="0" applyFont="1" applyAlignment="1">
      <alignment horizontal="left" vertical="center" indent="2"/>
    </xf>
    <xf numFmtId="0" fontId="19" fillId="0" borderId="0" xfId="0" applyFont="1"/>
    <xf numFmtId="0" fontId="20" fillId="0" borderId="0" xfId="0" applyFont="1"/>
    <xf numFmtId="0" fontId="21" fillId="0" borderId="0" xfId="0" applyFont="1" applyAlignment="1">
      <alignment vertical="center"/>
    </xf>
    <xf numFmtId="0" fontId="19"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22" fillId="0" borderId="0" xfId="0" applyFont="1"/>
    <xf numFmtId="0" fontId="19" fillId="0" borderId="0" xfId="0" applyFont="1" applyAlignment="1">
      <alignment vertical="center" shrinkToFit="1"/>
    </xf>
    <xf numFmtId="0" fontId="23" fillId="0" borderId="0" xfId="0" applyFont="1"/>
    <xf numFmtId="0" fontId="3" fillId="0" borderId="0" xfId="3" applyFont="1" applyAlignment="1">
      <alignment horizontal="left"/>
    </xf>
    <xf numFmtId="0" fontId="19" fillId="0" borderId="0" xfId="0" applyFont="1" applyAlignment="1">
      <alignment horizontal="left" vertical="center" shrinkToFit="1"/>
    </xf>
    <xf numFmtId="179" fontId="9" fillId="0" borderId="0" xfId="0" applyNumberFormat="1" applyFont="1" applyAlignment="1"/>
    <xf numFmtId="0" fontId="7" fillId="0" borderId="0" xfId="0" applyFont="1" applyAlignment="1">
      <alignment vertical="center"/>
    </xf>
    <xf numFmtId="0" fontId="9" fillId="0" borderId="0" xfId="0" applyFont="1"/>
    <xf numFmtId="0" fontId="3" fillId="0" borderId="0" xfId="3">
      <alignment vertical="center"/>
    </xf>
    <xf numFmtId="0" fontId="7" fillId="0" borderId="0" xfId="0" applyFont="1" applyAlignment="1">
      <alignment horizontal="left" vertical="center" indent="2"/>
    </xf>
    <xf numFmtId="0" fontId="21" fillId="0" borderId="0" xfId="0" applyFont="1" applyAlignment="1">
      <alignment vertical="center"/>
    </xf>
    <xf numFmtId="0" fontId="19" fillId="0" borderId="0" xfId="0" applyFont="1" applyAlignment="1">
      <alignment vertical="center"/>
    </xf>
    <xf numFmtId="0" fontId="9" fillId="0" borderId="0" xfId="0" applyFont="1" applyAlignment="1">
      <alignment vertical="center"/>
    </xf>
    <xf numFmtId="0" fontId="19" fillId="0" borderId="0" xfId="0" applyFont="1" applyAlignment="1">
      <alignment vertical="center" shrinkToFit="1"/>
    </xf>
    <xf numFmtId="0" fontId="23" fillId="0" borderId="0" xfId="0" applyFont="1"/>
    <xf numFmtId="0" fontId="9" fillId="0" borderId="0" xfId="0" applyFont="1" applyAlignment="1">
      <alignment horizontal="left"/>
    </xf>
    <xf numFmtId="0" fontId="24" fillId="2" borderId="3" xfId="1" applyFont="1" applyFill="1" applyBorder="1" applyAlignment="1" applyProtection="1">
      <alignment horizontal="center" vertical="center"/>
      <protection locked="0"/>
    </xf>
    <xf numFmtId="0" fontId="24" fillId="2" borderId="38" xfId="1" applyFont="1" applyFill="1" applyBorder="1" applyAlignment="1" applyProtection="1">
      <alignment horizontal="center" vertical="center"/>
      <protection locked="0"/>
    </xf>
    <xf numFmtId="0" fontId="24" fillId="2" borderId="0" xfId="1" applyFont="1" applyFill="1" applyBorder="1" applyAlignment="1" applyProtection="1">
      <alignment horizontal="center" vertical="center"/>
      <protection locked="0"/>
    </xf>
    <xf numFmtId="0" fontId="23" fillId="0" borderId="0" xfId="0" applyFont="1" applyBorder="1" applyProtection="1">
      <protection locked="0"/>
    </xf>
    <xf numFmtId="0" fontId="24" fillId="0" borderId="3" xfId="1" applyFont="1" applyFill="1" applyBorder="1" applyAlignment="1" applyProtection="1">
      <alignment horizontal="center" vertical="center"/>
      <protection locked="0"/>
    </xf>
    <xf numFmtId="0" fontId="24" fillId="0" borderId="0" xfId="1" applyFont="1" applyFill="1" applyBorder="1" applyAlignment="1" applyProtection="1">
      <alignment horizontal="center" vertical="center"/>
      <protection locked="0"/>
    </xf>
    <xf numFmtId="0" fontId="15" fillId="0" borderId="0" xfId="3" applyFont="1" applyAlignment="1"/>
    <xf numFmtId="0" fontId="9" fillId="0" borderId="0" xfId="0" applyFont="1" applyAlignment="1"/>
    <xf numFmtId="0" fontId="24" fillId="0" borderId="0" xfId="0" applyFont="1"/>
    <xf numFmtId="0" fontId="24" fillId="0" borderId="0" xfId="0" applyFont="1" applyFill="1" applyBorder="1" applyProtection="1">
      <protection locked="0"/>
    </xf>
    <xf numFmtId="0" fontId="14" fillId="0" borderId="0" xfId="4"/>
    <xf numFmtId="180" fontId="9" fillId="0" borderId="0" xfId="0" applyNumberFormat="1" applyFont="1" applyAlignment="1">
      <alignment shrinkToFit="1"/>
    </xf>
    <xf numFmtId="0" fontId="9" fillId="0" borderId="0" xfId="0" applyNumberFormat="1" applyFont="1" applyAlignment="1">
      <alignment shrinkToFit="1"/>
    </xf>
    <xf numFmtId="0" fontId="3" fillId="0" borderId="68" xfId="1" applyFill="1" applyBorder="1"/>
    <xf numFmtId="0" fontId="33" fillId="0" borderId="0" xfId="0" applyFont="1" applyFill="1" applyBorder="1" applyProtection="1">
      <protection locked="0"/>
    </xf>
    <xf numFmtId="0" fontId="33" fillId="0" borderId="38" xfId="0" applyFont="1" applyFill="1" applyBorder="1" applyProtection="1">
      <protection locked="0"/>
    </xf>
    <xf numFmtId="0" fontId="33" fillId="0" borderId="0" xfId="0" applyFont="1" applyBorder="1" applyProtection="1">
      <protection locked="0"/>
    </xf>
    <xf numFmtId="0" fontId="33" fillId="0" borderId="38" xfId="0" applyFont="1" applyBorder="1" applyProtection="1">
      <protection locked="0"/>
    </xf>
    <xf numFmtId="0" fontId="23" fillId="0" borderId="0" xfId="0" applyFont="1" applyFill="1" applyBorder="1" applyAlignment="1" applyProtection="1">
      <alignment horizontal="center"/>
      <protection locked="0"/>
    </xf>
    <xf numFmtId="0" fontId="34" fillId="0" borderId="0" xfId="3" applyFont="1">
      <alignment vertical="center"/>
    </xf>
    <xf numFmtId="0" fontId="23" fillId="0" borderId="0" xfId="0" applyFont="1" applyProtection="1">
      <protection locked="0"/>
    </xf>
    <xf numFmtId="0" fontId="23" fillId="3" borderId="53" xfId="0" applyFont="1" applyFill="1" applyBorder="1" applyProtection="1">
      <protection locked="0"/>
    </xf>
    <xf numFmtId="0" fontId="23" fillId="3" borderId="54" xfId="0" applyFont="1" applyFill="1" applyBorder="1" applyProtection="1">
      <protection locked="0"/>
    </xf>
    <xf numFmtId="0" fontId="23" fillId="3" borderId="55" xfId="0" applyFont="1" applyFill="1" applyBorder="1" applyProtection="1">
      <protection locked="0"/>
    </xf>
    <xf numFmtId="0" fontId="26" fillId="0" borderId="52" xfId="0" applyFont="1" applyBorder="1" applyProtection="1">
      <protection locked="0"/>
    </xf>
    <xf numFmtId="0" fontId="23" fillId="0" borderId="3" xfId="0" applyFont="1" applyBorder="1" applyProtection="1">
      <protection locked="0"/>
    </xf>
    <xf numFmtId="0" fontId="23" fillId="2" borderId="3" xfId="0" applyFont="1" applyFill="1" applyBorder="1" applyProtection="1">
      <protection locked="0"/>
    </xf>
    <xf numFmtId="0" fontId="23" fillId="0" borderId="6" xfId="0" applyFont="1" applyBorder="1" applyProtection="1">
      <protection locked="0"/>
    </xf>
    <xf numFmtId="0" fontId="26" fillId="0" borderId="61" xfId="0" applyFont="1" applyBorder="1" applyProtection="1">
      <protection locked="0"/>
    </xf>
    <xf numFmtId="0" fontId="23" fillId="4" borderId="0" xfId="0" applyFont="1" applyFill="1" applyBorder="1" applyProtection="1">
      <protection locked="0"/>
    </xf>
    <xf numFmtId="0" fontId="23" fillId="0" borderId="49" xfId="0" applyFont="1" applyBorder="1" applyProtection="1">
      <protection locked="0"/>
    </xf>
    <xf numFmtId="0" fontId="26" fillId="0" borderId="60" xfId="0" applyFont="1" applyBorder="1" applyProtection="1">
      <protection locked="0"/>
    </xf>
    <xf numFmtId="0" fontId="23" fillId="0" borderId="38" xfId="0" applyFont="1" applyBorder="1" applyProtection="1">
      <protection locked="0"/>
    </xf>
    <xf numFmtId="0" fontId="25" fillId="0" borderId="38" xfId="0" applyFont="1" applyBorder="1" applyProtection="1">
      <protection locked="0"/>
    </xf>
    <xf numFmtId="0" fontId="23" fillId="0" borderId="38" xfId="0" applyFont="1" applyFill="1" applyBorder="1" applyProtection="1">
      <protection locked="0"/>
    </xf>
    <xf numFmtId="0" fontId="23" fillId="0" borderId="39" xfId="0" applyFont="1" applyBorder="1" applyProtection="1">
      <protection locked="0"/>
    </xf>
    <xf numFmtId="0" fontId="23" fillId="0" borderId="52" xfId="0" applyFont="1" applyBorder="1" applyAlignment="1" applyProtection="1">
      <alignment horizontal="right"/>
      <protection locked="0"/>
    </xf>
    <xf numFmtId="0" fontId="23" fillId="0" borderId="60" xfId="0" applyFont="1" applyBorder="1" applyAlignment="1" applyProtection="1">
      <alignment horizontal="right"/>
      <protection locked="0"/>
    </xf>
    <xf numFmtId="0" fontId="25" fillId="0" borderId="0" xfId="0" applyFont="1" applyProtection="1">
      <protection locked="0"/>
    </xf>
    <xf numFmtId="0" fontId="25" fillId="3" borderId="54" xfId="0" applyFont="1" applyFill="1" applyBorder="1" applyProtection="1">
      <protection locked="0"/>
    </xf>
    <xf numFmtId="0" fontId="23" fillId="0" borderId="61" xfId="0" applyFont="1" applyBorder="1" applyProtection="1">
      <protection locked="0"/>
    </xf>
    <xf numFmtId="0" fontId="26" fillId="0" borderId="0" xfId="0" applyFont="1" applyBorder="1" applyProtection="1">
      <protection locked="0"/>
    </xf>
    <xf numFmtId="0" fontId="27" fillId="0" borderId="0" xfId="0" applyFont="1" applyBorder="1" applyProtection="1">
      <protection locked="0"/>
    </xf>
    <xf numFmtId="0" fontId="26" fillId="0" borderId="49" xfId="0" applyFont="1" applyBorder="1" applyProtection="1">
      <protection locked="0"/>
    </xf>
    <xf numFmtId="0" fontId="26" fillId="0" borderId="0" xfId="0" applyFont="1" applyProtection="1">
      <protection locked="0"/>
    </xf>
    <xf numFmtId="0" fontId="26" fillId="0" borderId="0" xfId="0" applyFont="1" applyFill="1" applyBorder="1" applyProtection="1">
      <protection locked="0"/>
    </xf>
    <xf numFmtId="0" fontId="26" fillId="0" borderId="49" xfId="0" applyFont="1" applyFill="1" applyBorder="1" applyProtection="1">
      <protection locked="0"/>
    </xf>
    <xf numFmtId="0" fontId="26" fillId="0" borderId="0" xfId="0" applyFont="1" applyFill="1" applyProtection="1">
      <protection locked="0"/>
    </xf>
    <xf numFmtId="0" fontId="23" fillId="0" borderId="60" xfId="0" applyFont="1" applyBorder="1" applyProtection="1">
      <protection locked="0"/>
    </xf>
    <xf numFmtId="0" fontId="26" fillId="0" borderId="38" xfId="0" applyFont="1" applyFill="1" applyBorder="1" applyProtection="1">
      <protection locked="0"/>
    </xf>
    <xf numFmtId="0" fontId="26" fillId="0" borderId="39" xfId="0" applyFont="1" applyFill="1" applyBorder="1" applyProtection="1">
      <protection locked="0"/>
    </xf>
    <xf numFmtId="0" fontId="23" fillId="0" borderId="38" xfId="0" applyFont="1" applyBorder="1" applyAlignment="1" applyProtection="1">
      <alignment horizontal="right"/>
      <protection locked="0"/>
    </xf>
    <xf numFmtId="0" fontId="14" fillId="0" borderId="38" xfId="4" applyBorder="1" applyAlignment="1" applyProtection="1">
      <alignment horizontal="center"/>
      <protection locked="0"/>
    </xf>
    <xf numFmtId="0" fontId="23" fillId="0" borderId="0" xfId="0" applyFont="1" applyBorder="1" applyAlignment="1" applyProtection="1">
      <alignment horizontal="right"/>
      <protection locked="0"/>
    </xf>
    <xf numFmtId="0" fontId="23" fillId="0" borderId="54" xfId="4" applyFont="1" applyBorder="1" applyAlignment="1" applyProtection="1">
      <alignment horizontal="left"/>
      <protection locked="0"/>
    </xf>
    <xf numFmtId="0" fontId="23" fillId="0" borderId="54" xfId="0" applyFont="1" applyBorder="1" applyProtection="1">
      <protection locked="0"/>
    </xf>
    <xf numFmtId="0" fontId="23" fillId="0" borderId="55" xfId="0" applyFont="1" applyBorder="1" applyProtection="1">
      <protection locked="0"/>
    </xf>
    <xf numFmtId="0" fontId="23" fillId="0" borderId="38" xfId="0" applyFont="1" applyBorder="1" applyAlignment="1" applyProtection="1">
      <alignment horizontal="center"/>
      <protection locked="0"/>
    </xf>
    <xf numFmtId="0" fontId="23" fillId="0" borderId="38" xfId="4" applyFont="1" applyBorder="1" applyAlignment="1" applyProtection="1">
      <alignment horizontal="left"/>
      <protection locked="0"/>
    </xf>
    <xf numFmtId="0" fontId="23" fillId="0" borderId="61" xfId="0" applyFont="1" applyBorder="1" applyAlignment="1" applyProtection="1">
      <alignment horizontal="right"/>
      <protection locked="0"/>
    </xf>
    <xf numFmtId="0" fontId="24" fillId="0" borderId="0" xfId="0" applyFont="1" applyBorder="1" applyAlignment="1" applyProtection="1">
      <alignment horizontal="left"/>
      <protection locked="0"/>
    </xf>
    <xf numFmtId="0" fontId="25" fillId="0" borderId="0" xfId="0" applyFont="1" applyBorder="1" applyProtection="1">
      <protection locked="0"/>
    </xf>
    <xf numFmtId="0" fontId="23" fillId="0" borderId="0" xfId="0" applyFont="1" applyFill="1" applyBorder="1" applyProtection="1">
      <protection locked="0"/>
    </xf>
    <xf numFmtId="0" fontId="23" fillId="3" borderId="54" xfId="0" applyFont="1" applyFill="1" applyBorder="1" applyAlignment="1" applyProtection="1">
      <alignment vertical="top" wrapText="1"/>
      <protection locked="0"/>
    </xf>
    <xf numFmtId="0" fontId="23" fillId="3" borderId="53" xfId="0" applyFont="1" applyFill="1" applyBorder="1" applyAlignment="1" applyProtection="1">
      <alignment horizontal="right"/>
      <protection locked="0"/>
    </xf>
    <xf numFmtId="0" fontId="23" fillId="3" borderId="54" xfId="0" applyFont="1" applyFill="1" applyBorder="1" applyAlignment="1" applyProtection="1">
      <alignment vertical="top"/>
      <protection locked="0"/>
    </xf>
    <xf numFmtId="0" fontId="23" fillId="0" borderId="3" xfId="0" applyFont="1" applyFill="1" applyBorder="1" applyProtection="1">
      <protection locked="0"/>
    </xf>
    <xf numFmtId="0" fontId="33" fillId="0" borderId="0" xfId="0" applyFont="1" applyFill="1" applyBorder="1" applyAlignment="1" applyProtection="1">
      <alignment shrinkToFit="1"/>
      <protection locked="0"/>
    </xf>
    <xf numFmtId="0" fontId="23" fillId="0" borderId="49" xfId="0" applyFont="1" applyFill="1" applyBorder="1" applyAlignment="1" applyProtection="1">
      <alignment horizontal="center"/>
      <protection locked="0"/>
    </xf>
    <xf numFmtId="0" fontId="33" fillId="0" borderId="0" xfId="0" applyFont="1" applyBorder="1" applyAlignment="1" applyProtection="1">
      <alignment horizontal="left"/>
      <protection locked="0"/>
    </xf>
    <xf numFmtId="0" fontId="33" fillId="0" borderId="38" xfId="0" applyFont="1" applyBorder="1" applyAlignment="1" applyProtection="1">
      <alignment horizontal="left"/>
      <protection locked="0"/>
    </xf>
    <xf numFmtId="0" fontId="33" fillId="0" borderId="38" xfId="0" applyFont="1" applyFill="1" applyBorder="1" applyAlignment="1" applyProtection="1">
      <alignment horizontal="left"/>
      <protection locked="0"/>
    </xf>
    <xf numFmtId="0" fontId="23" fillId="0" borderId="3" xfId="0" applyFont="1" applyBorder="1" applyAlignment="1" applyProtection="1">
      <alignment horizontal="left"/>
      <protection locked="0"/>
    </xf>
    <xf numFmtId="0" fontId="23" fillId="0" borderId="3" xfId="0" applyFont="1" applyFill="1" applyBorder="1" applyAlignment="1" applyProtection="1">
      <alignment horizontal="left"/>
      <protection locked="0"/>
    </xf>
    <xf numFmtId="0" fontId="33" fillId="0" borderId="0" xfId="0" applyFont="1" applyBorder="1" applyAlignment="1" applyProtection="1">
      <alignment horizontal="right"/>
      <protection locked="0"/>
    </xf>
    <xf numFmtId="0" fontId="33" fillId="0" borderId="0" xfId="0" applyFont="1" applyFill="1" applyBorder="1" applyAlignment="1" applyProtection="1">
      <alignment horizontal="right"/>
      <protection locked="0"/>
    </xf>
    <xf numFmtId="0" fontId="33" fillId="0" borderId="38" xfId="0" applyFont="1" applyFill="1" applyBorder="1" applyAlignment="1" applyProtection="1">
      <alignment horizontal="right"/>
      <protection locked="0"/>
    </xf>
    <xf numFmtId="0" fontId="23" fillId="0" borderId="53" xfId="0" applyFont="1" applyBorder="1" applyAlignment="1" applyProtection="1">
      <alignment horizontal="center" vertical="center"/>
      <protection locked="0"/>
    </xf>
    <xf numFmtId="0" fontId="28" fillId="0" borderId="53" xfId="0" applyFont="1" applyBorder="1" applyProtection="1">
      <protection locked="0"/>
    </xf>
    <xf numFmtId="0" fontId="23" fillId="0" borderId="52" xfId="0" applyFont="1" applyBorder="1" applyProtection="1">
      <protection locked="0"/>
    </xf>
    <xf numFmtId="0" fontId="14" fillId="0" borderId="3" xfId="4" applyBorder="1" applyProtection="1">
      <protection locked="0"/>
    </xf>
    <xf numFmtId="0" fontId="14" fillId="0" borderId="38" xfId="4" applyBorder="1" applyProtection="1">
      <protection locked="0"/>
    </xf>
    <xf numFmtId="0" fontId="23" fillId="5" borderId="53" xfId="0" applyFont="1" applyFill="1" applyBorder="1" applyProtection="1">
      <protection locked="0"/>
    </xf>
    <xf numFmtId="0" fontId="23" fillId="5" borderId="54" xfId="0" applyFont="1" applyFill="1" applyBorder="1" applyProtection="1">
      <protection locked="0"/>
    </xf>
    <xf numFmtId="0" fontId="23" fillId="5" borderId="55" xfId="0" applyFont="1" applyFill="1" applyBorder="1" applyProtection="1">
      <protection locked="0"/>
    </xf>
    <xf numFmtId="0" fontId="3" fillId="2" borderId="0" xfId="1" applyFill="1" applyAlignment="1" applyProtection="1">
      <alignment horizontal="center" vertical="center"/>
      <protection locked="0"/>
    </xf>
    <xf numFmtId="0" fontId="3" fillId="0" borderId="0" xfId="1" applyFill="1" applyProtection="1"/>
    <xf numFmtId="0" fontId="3" fillId="0" borderId="0" xfId="1" applyFill="1" applyAlignment="1" applyProtection="1">
      <alignment horizontal="center"/>
    </xf>
    <xf numFmtId="0" fontId="3" fillId="0" borderId="0" xfId="1" applyAlignment="1" applyProtection="1"/>
    <xf numFmtId="0" fontId="14" fillId="0" borderId="0" xfId="4" applyProtection="1"/>
    <xf numFmtId="10" fontId="3" fillId="0" borderId="0" xfId="1" applyNumberFormat="1" applyFill="1" applyProtection="1"/>
    <xf numFmtId="0" fontId="9" fillId="0" borderId="0" xfId="0" applyFont="1" applyProtection="1"/>
    <xf numFmtId="0" fontId="3" fillId="0" borderId="0" xfId="1" applyFill="1" applyBorder="1" applyAlignment="1" applyProtection="1">
      <alignment horizontal="center" vertical="top" wrapText="1"/>
    </xf>
    <xf numFmtId="0" fontId="4" fillId="0" borderId="7" xfId="1" applyFont="1" applyFill="1" applyBorder="1" applyAlignment="1" applyProtection="1">
      <alignment horizontal="center" vertical="center"/>
    </xf>
    <xf numFmtId="0" fontId="3" fillId="0" borderId="0" xfId="1" applyFill="1" applyBorder="1" applyAlignment="1" applyProtection="1">
      <alignment horizontal="center" wrapText="1"/>
    </xf>
    <xf numFmtId="0" fontId="3" fillId="0" borderId="16" xfId="1" applyFill="1" applyBorder="1" applyAlignment="1" applyProtection="1">
      <alignment horizontal="center"/>
    </xf>
    <xf numFmtId="0" fontId="3" fillId="0" borderId="17" xfId="1" applyFill="1" applyBorder="1" applyAlignment="1" applyProtection="1"/>
    <xf numFmtId="0" fontId="3" fillId="0" borderId="18" xfId="1" applyFill="1" applyBorder="1" applyProtection="1"/>
    <xf numFmtId="0" fontId="3" fillId="0" borderId="19" xfId="1" applyFill="1" applyBorder="1" applyProtection="1"/>
    <xf numFmtId="0" fontId="3" fillId="0" borderId="20" xfId="1" applyFill="1" applyBorder="1" applyProtection="1"/>
    <xf numFmtId="0" fontId="3" fillId="0" borderId="17" xfId="1" applyFill="1" applyBorder="1" applyProtection="1"/>
    <xf numFmtId="0" fontId="3" fillId="0" borderId="21" xfId="1" applyFill="1" applyBorder="1" applyProtection="1"/>
    <xf numFmtId="0" fontId="3" fillId="0" borderId="22" xfId="1" applyNumberFormat="1" applyFill="1" applyBorder="1" applyProtection="1"/>
    <xf numFmtId="1" fontId="3" fillId="0" borderId="22" xfId="1" applyNumberFormat="1" applyFill="1" applyBorder="1" applyProtection="1"/>
    <xf numFmtId="0" fontId="3" fillId="0" borderId="22" xfId="1" applyFill="1" applyBorder="1" applyAlignment="1" applyProtection="1">
      <alignment horizontal="left"/>
    </xf>
    <xf numFmtId="0" fontId="3" fillId="0" borderId="22" xfId="1" applyFill="1" applyBorder="1" applyProtection="1"/>
    <xf numFmtId="0" fontId="3" fillId="0" borderId="23" xfId="1" applyFill="1" applyBorder="1" applyProtection="1"/>
    <xf numFmtId="38" fontId="3" fillId="0" borderId="19" xfId="2" applyFill="1" applyBorder="1" applyAlignment="1" applyProtection="1">
      <alignment horizontal="right"/>
    </xf>
    <xf numFmtId="0" fontId="3" fillId="0" borderId="0" xfId="1" applyFill="1" applyBorder="1" applyProtection="1"/>
    <xf numFmtId="0" fontId="3" fillId="0" borderId="68" xfId="1" applyFill="1" applyBorder="1" applyProtection="1"/>
    <xf numFmtId="0" fontId="3" fillId="0" borderId="34" xfId="1" applyFill="1" applyBorder="1" applyAlignment="1" applyProtection="1">
      <alignment horizontal="center"/>
    </xf>
    <xf numFmtId="0" fontId="3" fillId="0" borderId="35" xfId="1" applyFill="1" applyBorder="1" applyProtection="1"/>
    <xf numFmtId="0" fontId="3" fillId="0" borderId="40" xfId="1" applyFill="1" applyBorder="1" applyProtection="1"/>
    <xf numFmtId="0" fontId="3" fillId="0" borderId="41" xfId="1" applyFill="1" applyBorder="1" applyProtection="1"/>
    <xf numFmtId="0" fontId="3" fillId="0" borderId="37" xfId="1" applyFill="1" applyBorder="1" applyProtection="1"/>
    <xf numFmtId="0" fontId="3" fillId="0" borderId="38" xfId="1" applyNumberFormat="1" applyFill="1" applyBorder="1" applyProtection="1"/>
    <xf numFmtId="1" fontId="3" fillId="0" borderId="38" xfId="1" applyNumberFormat="1" applyFill="1" applyBorder="1" applyProtection="1"/>
    <xf numFmtId="0" fontId="3" fillId="0" borderId="38" xfId="1" applyFill="1" applyBorder="1" applyAlignment="1" applyProtection="1">
      <alignment horizontal="left"/>
    </xf>
    <xf numFmtId="0" fontId="3" fillId="0" borderId="42" xfId="1" applyFill="1" applyBorder="1" applyProtection="1"/>
    <xf numFmtId="38" fontId="3" fillId="0" borderId="41" xfId="2" applyFont="1" applyFill="1" applyBorder="1" applyAlignment="1" applyProtection="1">
      <alignment horizontal="right"/>
    </xf>
    <xf numFmtId="0" fontId="3" fillId="0" borderId="0" xfId="1" applyFill="1" applyBorder="1" applyAlignment="1" applyProtection="1">
      <alignment horizontal="center"/>
    </xf>
    <xf numFmtId="0" fontId="3" fillId="0" borderId="0" xfId="1" applyNumberFormat="1" applyFill="1" applyBorder="1" applyProtection="1"/>
    <xf numFmtId="1" fontId="3" fillId="0" borderId="0" xfId="1" applyNumberFormat="1" applyFill="1" applyBorder="1" applyProtection="1"/>
    <xf numFmtId="0" fontId="3" fillId="0" borderId="0" xfId="1" applyFill="1" applyBorder="1" applyAlignment="1" applyProtection="1">
      <alignment horizontal="left"/>
    </xf>
    <xf numFmtId="38" fontId="3" fillId="0" borderId="0" xfId="2" applyFont="1" applyFill="1" applyBorder="1" applyAlignment="1" applyProtection="1">
      <alignment horizontal="right"/>
    </xf>
    <xf numFmtId="0" fontId="3" fillId="0" borderId="0" xfId="1" applyFill="1" applyAlignment="1" applyProtection="1">
      <alignment horizontal="center" vertical="center"/>
    </xf>
    <xf numFmtId="0" fontId="3" fillId="0" borderId="47" xfId="1" applyFill="1" applyBorder="1" applyAlignment="1" applyProtection="1">
      <alignment horizontal="center"/>
    </xf>
    <xf numFmtId="0" fontId="3" fillId="0" borderId="0" xfId="1" applyFill="1" applyAlignment="1" applyProtection="1">
      <alignment shrinkToFit="1"/>
    </xf>
    <xf numFmtId="0" fontId="3" fillId="0" borderId="24" xfId="1" applyFill="1" applyBorder="1" applyAlignment="1" applyProtection="1">
      <alignment horizontal="center"/>
    </xf>
    <xf numFmtId="0" fontId="3" fillId="0" borderId="25" xfId="1" applyFill="1" applyBorder="1" applyProtection="1"/>
    <xf numFmtId="0" fontId="3" fillId="0" borderId="26" xfId="1" applyFill="1" applyBorder="1" applyProtection="1"/>
    <xf numFmtId="0" fontId="3" fillId="0" borderId="27" xfId="1" applyFill="1" applyBorder="1" applyProtection="1"/>
    <xf numFmtId="0" fontId="3" fillId="0" borderId="28" xfId="1" applyFill="1" applyBorder="1" applyProtection="1"/>
    <xf numFmtId="38" fontId="3" fillId="0" borderId="27" xfId="2" applyFont="1" applyFill="1" applyBorder="1" applyAlignment="1" applyProtection="1">
      <alignment horizontal="right"/>
    </xf>
    <xf numFmtId="38" fontId="3" fillId="0" borderId="27" xfId="2" applyFill="1" applyBorder="1" applyAlignment="1" applyProtection="1">
      <alignment horizontal="right"/>
    </xf>
    <xf numFmtId="38" fontId="3" fillId="0" borderId="41" xfId="2" applyFill="1" applyBorder="1" applyAlignment="1" applyProtection="1">
      <alignment horizontal="right"/>
    </xf>
    <xf numFmtId="0" fontId="3" fillId="0" borderId="25" xfId="1" applyFill="1" applyBorder="1" applyAlignment="1" applyProtection="1">
      <alignment horizontal="left"/>
    </xf>
    <xf numFmtId="0" fontId="3" fillId="0" borderId="35" xfId="1" applyFill="1" applyBorder="1" applyAlignment="1" applyProtection="1">
      <alignment horizontal="left"/>
    </xf>
    <xf numFmtId="0" fontId="3" fillId="0" borderId="0" xfId="1" applyFill="1" applyAlignment="1" applyProtection="1"/>
    <xf numFmtId="0" fontId="3" fillId="0" borderId="0" xfId="1" applyNumberFormat="1" applyFill="1" applyAlignment="1" applyProtection="1"/>
    <xf numFmtId="0" fontId="3" fillId="0" borderId="29" xfId="1" applyFill="1" applyBorder="1" applyProtection="1"/>
    <xf numFmtId="0" fontId="3" fillId="0" borderId="30" xfId="1" applyFill="1" applyBorder="1" applyProtection="1"/>
    <xf numFmtId="38" fontId="3" fillId="0" borderId="31" xfId="2" applyFont="1" applyFill="1" applyBorder="1" applyAlignment="1" applyProtection="1">
      <alignment horizontal="right"/>
    </xf>
    <xf numFmtId="0" fontId="3" fillId="0" borderId="32" xfId="1" applyFill="1" applyBorder="1" applyProtection="1"/>
    <xf numFmtId="0" fontId="3" fillId="0" borderId="33" xfId="1" applyFill="1" applyBorder="1" applyProtection="1"/>
    <xf numFmtId="0" fontId="3" fillId="0" borderId="48" xfId="1" applyFill="1" applyBorder="1" applyAlignment="1" applyProtection="1">
      <alignment horizontal="center"/>
    </xf>
    <xf numFmtId="0" fontId="3" fillId="0" borderId="25" xfId="1" applyFill="1" applyBorder="1" applyAlignment="1" applyProtection="1"/>
    <xf numFmtId="0" fontId="3" fillId="0" borderId="25" xfId="1" applyNumberFormat="1" applyFill="1" applyBorder="1" applyProtection="1"/>
    <xf numFmtId="1" fontId="3" fillId="0" borderId="25" xfId="1" applyNumberFormat="1" applyFill="1" applyBorder="1" applyProtection="1"/>
    <xf numFmtId="0" fontId="3" fillId="0" borderId="0" xfId="1" applyFill="1" applyBorder="1" applyAlignment="1" applyProtection="1"/>
    <xf numFmtId="0" fontId="3" fillId="0" borderId="1" xfId="1" applyFill="1" applyBorder="1" applyProtection="1"/>
    <xf numFmtId="0" fontId="3" fillId="0" borderId="49" xfId="1" applyFill="1" applyBorder="1" applyProtection="1"/>
    <xf numFmtId="38" fontId="3" fillId="0" borderId="32" xfId="2" applyFill="1" applyBorder="1" applyAlignment="1" applyProtection="1">
      <alignment horizontal="right"/>
    </xf>
    <xf numFmtId="0" fontId="3" fillId="0" borderId="35" xfId="1" applyFill="1" applyBorder="1" applyAlignment="1" applyProtection="1"/>
    <xf numFmtId="0" fontId="3" fillId="0" borderId="35" xfId="1" applyNumberFormat="1" applyFill="1" applyBorder="1" applyProtection="1"/>
    <xf numFmtId="1" fontId="3" fillId="0" borderId="35" xfId="1" applyNumberFormat="1" applyFill="1" applyBorder="1" applyProtection="1"/>
    <xf numFmtId="38" fontId="3" fillId="0" borderId="35" xfId="2" applyFill="1" applyBorder="1" applyAlignment="1" applyProtection="1">
      <alignment horizontal="right"/>
    </xf>
    <xf numFmtId="0" fontId="3" fillId="0" borderId="31" xfId="1" applyFill="1" applyBorder="1" applyProtection="1"/>
    <xf numFmtId="0" fontId="3" fillId="0" borderId="29" xfId="1" applyNumberFormat="1" applyFill="1" applyBorder="1" applyProtection="1"/>
    <xf numFmtId="1" fontId="3" fillId="0" borderId="29" xfId="1" applyNumberFormat="1" applyFill="1" applyBorder="1" applyProtection="1"/>
    <xf numFmtId="0" fontId="3" fillId="0" borderId="29" xfId="1" applyFill="1" applyBorder="1" applyAlignment="1" applyProtection="1">
      <alignment horizontal="left"/>
    </xf>
    <xf numFmtId="38" fontId="3" fillId="0" borderId="21" xfId="2" applyFill="1" applyBorder="1" applyAlignment="1" applyProtection="1">
      <alignment horizontal="right"/>
    </xf>
    <xf numFmtId="0" fontId="3" fillId="0" borderId="50" xfId="1" applyFill="1" applyBorder="1" applyProtection="1"/>
    <xf numFmtId="0" fontId="3" fillId="0" borderId="36" xfId="1" applyFill="1" applyBorder="1" applyProtection="1"/>
    <xf numFmtId="0" fontId="3" fillId="0" borderId="38" xfId="1" applyFill="1" applyBorder="1" applyProtection="1"/>
    <xf numFmtId="0" fontId="3" fillId="0" borderId="39" xfId="1" applyFill="1" applyBorder="1" applyProtection="1"/>
    <xf numFmtId="38" fontId="3" fillId="0" borderId="37" xfId="2" applyFill="1" applyBorder="1" applyAlignment="1" applyProtection="1">
      <alignment horizontal="right"/>
    </xf>
    <xf numFmtId="38" fontId="3" fillId="0" borderId="37" xfId="2" applyFont="1" applyFill="1" applyBorder="1" applyAlignment="1" applyProtection="1">
      <alignment horizontal="right"/>
    </xf>
    <xf numFmtId="0" fontId="6" fillId="0" borderId="0" xfId="1" applyFont="1" applyFill="1" applyProtection="1"/>
    <xf numFmtId="38" fontId="3" fillId="0" borderId="0" xfId="2" applyFill="1" applyBorder="1" applyAlignment="1" applyProtection="1">
      <alignment horizontal="right"/>
    </xf>
    <xf numFmtId="38" fontId="3" fillId="0" borderId="17" xfId="2" applyFill="1" applyBorder="1" applyAlignment="1" applyProtection="1">
      <alignment horizontal="right"/>
    </xf>
    <xf numFmtId="38" fontId="3" fillId="0" borderId="25" xfId="2" applyFont="1" applyFill="1" applyBorder="1" applyAlignment="1" applyProtection="1">
      <alignment horizontal="right"/>
    </xf>
    <xf numFmtId="38" fontId="3" fillId="0" borderId="35" xfId="2" applyFont="1" applyFill="1" applyBorder="1" applyAlignment="1" applyProtection="1">
      <alignment horizontal="right"/>
    </xf>
    <xf numFmtId="38" fontId="3" fillId="0" borderId="38" xfId="2" applyFont="1" applyFill="1" applyBorder="1" applyAlignment="1" applyProtection="1">
      <alignment horizontal="right"/>
    </xf>
    <xf numFmtId="38" fontId="3" fillId="0" borderId="51" xfId="2" applyFill="1" applyBorder="1" applyAlignment="1" applyProtection="1">
      <alignment horizontal="right"/>
    </xf>
    <xf numFmtId="0" fontId="25" fillId="0" borderId="6" xfId="0" applyFont="1" applyBorder="1" applyProtection="1">
      <protection locked="0"/>
    </xf>
    <xf numFmtId="0" fontId="26" fillId="0" borderId="0" xfId="0" applyFont="1" applyBorder="1" applyAlignment="1" applyProtection="1">
      <alignment shrinkToFit="1"/>
      <protection locked="0"/>
    </xf>
    <xf numFmtId="0" fontId="35" fillId="0" borderId="0" xfId="0" applyFont="1"/>
    <xf numFmtId="0" fontId="24" fillId="0" borderId="0" xfId="4" applyFont="1" applyBorder="1" applyProtection="1">
      <protection locked="0"/>
    </xf>
    <xf numFmtId="0" fontId="25" fillId="0" borderId="0" xfId="4" applyFont="1" applyBorder="1" applyAlignment="1" applyProtection="1">
      <alignment horizontal="left"/>
      <protection locked="0"/>
    </xf>
    <xf numFmtId="0" fontId="0" fillId="0" borderId="20" xfId="0" applyFill="1" applyBorder="1" applyAlignment="1"/>
    <xf numFmtId="0" fontId="0" fillId="0" borderId="18" xfId="0" applyFill="1" applyBorder="1"/>
    <xf numFmtId="0" fontId="0" fillId="0" borderId="51" xfId="0" applyFill="1" applyBorder="1"/>
    <xf numFmtId="0" fontId="0" fillId="0" borderId="20" xfId="0" applyFill="1" applyBorder="1"/>
    <xf numFmtId="0" fontId="0" fillId="0" borderId="32" xfId="0" applyFill="1" applyBorder="1"/>
    <xf numFmtId="0" fontId="0" fillId="0" borderId="0" xfId="0" applyNumberFormat="1" applyFill="1" applyBorder="1"/>
    <xf numFmtId="1" fontId="0" fillId="0" borderId="0" xfId="0" applyNumberFormat="1" applyFill="1" applyBorder="1"/>
    <xf numFmtId="0" fontId="0" fillId="0" borderId="0" xfId="0" applyFill="1" applyBorder="1" applyAlignment="1">
      <alignment horizontal="left"/>
    </xf>
    <xf numFmtId="0" fontId="0" fillId="0" borderId="23" xfId="0" applyFill="1" applyBorder="1"/>
    <xf numFmtId="38" fontId="3" fillId="0" borderId="51" xfId="2" applyFill="1" applyBorder="1" applyAlignment="1">
      <alignment horizontal="right"/>
    </xf>
    <xf numFmtId="0" fontId="0" fillId="0" borderId="25" xfId="0" applyFill="1" applyBorder="1" applyAlignment="1"/>
    <xf numFmtId="0" fontId="0" fillId="0" borderId="26" xfId="0" applyFill="1" applyBorder="1"/>
    <xf numFmtId="0" fontId="0" fillId="0" borderId="27" xfId="0" applyFill="1" applyBorder="1"/>
    <xf numFmtId="0" fontId="0" fillId="0" borderId="25" xfId="0" applyFill="1" applyBorder="1"/>
    <xf numFmtId="0" fontId="0" fillId="0" borderId="25" xfId="0" applyNumberFormat="1" applyFill="1" applyBorder="1"/>
    <xf numFmtId="1" fontId="0" fillId="0" borderId="25" xfId="0" applyNumberFormat="1" applyFill="1" applyBorder="1"/>
    <xf numFmtId="0" fontId="0" fillId="0" borderId="25" xfId="0" applyFill="1" applyBorder="1" applyAlignment="1">
      <alignment horizontal="left"/>
    </xf>
    <xf numFmtId="0" fontId="0" fillId="0" borderId="28" xfId="0" applyFill="1" applyBorder="1"/>
    <xf numFmtId="38" fontId="3" fillId="0" borderId="27" xfId="2" applyFill="1" applyBorder="1" applyAlignment="1">
      <alignment horizontal="right"/>
    </xf>
    <xf numFmtId="0" fontId="0" fillId="0" borderId="40" xfId="0" applyFill="1" applyBorder="1"/>
    <xf numFmtId="0" fontId="0" fillId="0" borderId="41" xfId="0" applyFill="1" applyBorder="1"/>
    <xf numFmtId="0" fontId="0" fillId="0" borderId="35" xfId="0" applyFill="1" applyBorder="1"/>
    <xf numFmtId="0" fontId="0" fillId="0" borderId="35" xfId="0" applyNumberFormat="1" applyFill="1" applyBorder="1"/>
    <xf numFmtId="1" fontId="0" fillId="0" borderId="35" xfId="0" applyNumberFormat="1" applyFill="1" applyBorder="1"/>
    <xf numFmtId="0" fontId="0" fillId="0" borderId="35" xfId="0" applyFill="1" applyBorder="1" applyAlignment="1">
      <alignment horizontal="left"/>
    </xf>
    <xf numFmtId="0" fontId="0" fillId="0" borderId="42" xfId="0" applyFill="1" applyBorder="1"/>
    <xf numFmtId="38" fontId="3" fillId="0" borderId="41" xfId="2" applyFill="1" applyBorder="1" applyAlignment="1">
      <alignment horizontal="right"/>
    </xf>
    <xf numFmtId="0" fontId="0" fillId="0" borderId="16" xfId="0" applyBorder="1"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1" fontId="0" fillId="0" borderId="22" xfId="0" applyNumberFormat="1" applyBorder="1"/>
    <xf numFmtId="0" fontId="0" fillId="0" borderId="22" xfId="0" applyBorder="1" applyAlignment="1">
      <alignment horizontal="left"/>
    </xf>
    <xf numFmtId="0" fontId="0" fillId="0" borderId="23" xfId="0" applyBorder="1"/>
    <xf numFmtId="0" fontId="0" fillId="0" borderId="24" xfId="0" applyBorder="1" applyAlignment="1">
      <alignment horizontal="center"/>
    </xf>
    <xf numFmtId="0" fontId="0" fillId="0" borderId="29" xfId="0" applyBorder="1"/>
    <xf numFmtId="0" fontId="0" fillId="0" borderId="30" xfId="0" applyBorder="1"/>
    <xf numFmtId="0" fontId="0" fillId="0" borderId="31" xfId="0" applyBorder="1"/>
    <xf numFmtId="0" fontId="0" fillId="0" borderId="32" xfId="0" applyBorder="1"/>
    <xf numFmtId="1" fontId="0" fillId="0" borderId="0" xfId="0" applyNumberFormat="1"/>
    <xf numFmtId="0" fontId="0" fillId="0" borderId="0" xfId="0" applyAlignment="1">
      <alignment horizontal="left"/>
    </xf>
    <xf numFmtId="0" fontId="0" fillId="0" borderId="33" xfId="0" applyBorder="1"/>
    <xf numFmtId="0" fontId="0" fillId="0" borderId="48" xfId="0" applyBorder="1" applyAlignment="1">
      <alignment horizontal="center"/>
    </xf>
    <xf numFmtId="0" fontId="0" fillId="0" borderId="26" xfId="0" applyBorder="1"/>
    <xf numFmtId="0" fontId="0" fillId="0" borderId="27" xfId="0" applyBorder="1"/>
    <xf numFmtId="0" fontId="0" fillId="0" borderId="25" xfId="0" applyBorder="1"/>
    <xf numFmtId="1" fontId="0" fillId="0" borderId="25" xfId="0" applyNumberFormat="1" applyBorder="1"/>
    <xf numFmtId="0" fontId="0" fillId="0" borderId="25" xfId="0" applyBorder="1" applyAlignment="1">
      <alignment horizontal="left"/>
    </xf>
    <xf numFmtId="0" fontId="0" fillId="0" borderId="28" xfId="0" applyBorder="1"/>
    <xf numFmtId="0" fontId="0" fillId="0" borderId="47" xfId="0" applyBorder="1" applyAlignment="1">
      <alignment horizontal="center"/>
    </xf>
    <xf numFmtId="0" fontId="0" fillId="0" borderId="35" xfId="0" applyBorder="1"/>
    <xf numFmtId="0" fontId="0" fillId="0" borderId="41" xfId="0" applyBorder="1"/>
    <xf numFmtId="0" fontId="0" fillId="0" borderId="40" xfId="0" applyBorder="1"/>
    <xf numFmtId="1" fontId="0" fillId="0" borderId="35" xfId="0" applyNumberFormat="1" applyBorder="1"/>
    <xf numFmtId="0" fontId="0" fillId="0" borderId="35" xfId="0" applyBorder="1" applyAlignment="1">
      <alignment horizontal="left"/>
    </xf>
    <xf numFmtId="0" fontId="0" fillId="0" borderId="42" xfId="0" applyBorder="1"/>
    <xf numFmtId="1" fontId="0" fillId="0" borderId="29" xfId="0" applyNumberFormat="1" applyBorder="1"/>
    <xf numFmtId="0" fontId="0" fillId="0" borderId="29" xfId="0" applyBorder="1" applyAlignment="1">
      <alignment horizontal="left"/>
    </xf>
    <xf numFmtId="0" fontId="23" fillId="0" borderId="0" xfId="0" applyFont="1" applyFill="1" applyAlignment="1">
      <alignment horizontal="right"/>
    </xf>
    <xf numFmtId="0" fontId="3" fillId="0" borderId="24" xfId="1" applyFill="1" applyBorder="1" applyAlignment="1" applyProtection="1">
      <alignment horizontal="center"/>
    </xf>
    <xf numFmtId="0" fontId="23" fillId="0" borderId="0" xfId="0" applyFont="1" applyBorder="1" applyAlignment="1" applyProtection="1">
      <alignment shrinkToFit="1"/>
      <protection locked="0"/>
    </xf>
    <xf numFmtId="0" fontId="23" fillId="0" borderId="38" xfId="0" applyFont="1" applyBorder="1" applyAlignment="1" applyProtection="1">
      <alignment shrinkToFit="1"/>
      <protection locked="0"/>
    </xf>
    <xf numFmtId="0" fontId="3" fillId="0" borderId="40" xfId="1" applyFill="1" applyBorder="1"/>
    <xf numFmtId="0" fontId="3" fillId="0" borderId="41" xfId="1" applyFill="1" applyBorder="1"/>
    <xf numFmtId="0" fontId="3" fillId="0" borderId="35" xfId="1" applyNumberFormat="1" applyFill="1" applyBorder="1"/>
    <xf numFmtId="1" fontId="3" fillId="0" borderId="35" xfId="1" applyNumberFormat="1" applyFill="1" applyBorder="1"/>
    <xf numFmtId="0" fontId="3" fillId="0" borderId="35" xfId="1" applyFill="1" applyBorder="1" applyAlignment="1">
      <alignment horizontal="left"/>
    </xf>
    <xf numFmtId="0" fontId="3" fillId="0" borderId="24" xfId="1" applyFill="1" applyBorder="1" applyAlignment="1" applyProtection="1">
      <alignment horizontal="center"/>
    </xf>
    <xf numFmtId="0" fontId="3" fillId="0" borderId="56" xfId="1" applyFill="1" applyBorder="1" applyAlignment="1" applyProtection="1">
      <alignment horizontal="center"/>
    </xf>
    <xf numFmtId="0" fontId="0" fillId="0" borderId="0" xfId="0" applyFill="1" applyBorder="1"/>
    <xf numFmtId="0" fontId="0" fillId="0" borderId="1" xfId="0" applyFill="1" applyBorder="1"/>
    <xf numFmtId="0" fontId="0" fillId="0" borderId="49" xfId="0" applyFill="1" applyBorder="1"/>
    <xf numFmtId="38" fontId="3" fillId="0" borderId="32" xfId="2" applyFill="1" applyBorder="1" applyAlignment="1">
      <alignment horizontal="right"/>
    </xf>
    <xf numFmtId="0" fontId="0" fillId="0" borderId="33" xfId="0" applyFill="1" applyBorder="1"/>
    <xf numFmtId="0" fontId="0" fillId="0" borderId="29" xfId="0" applyFill="1" applyBorder="1" applyAlignment="1"/>
    <xf numFmtId="0" fontId="0" fillId="0" borderId="41" xfId="0" applyFill="1" applyBorder="1" applyAlignment="1"/>
    <xf numFmtId="0" fontId="3" fillId="0" borderId="3" xfId="1" applyFill="1" applyBorder="1" applyProtection="1"/>
    <xf numFmtId="38" fontId="3" fillId="0" borderId="31" xfId="2" applyFill="1" applyBorder="1" applyAlignment="1">
      <alignment horizontal="right"/>
    </xf>
    <xf numFmtId="0" fontId="0" fillId="0" borderId="37" xfId="0" applyFill="1" applyBorder="1"/>
    <xf numFmtId="0" fontId="3" fillId="0" borderId="0" xfId="1" applyFill="1" applyAlignment="1" applyProtection="1">
      <alignment horizontal="center"/>
    </xf>
    <xf numFmtId="0" fontId="3" fillId="0" borderId="0" xfId="1" applyFill="1" applyAlignment="1" applyProtection="1"/>
    <xf numFmtId="0" fontId="3" fillId="0" borderId="24" xfId="1" applyFill="1" applyBorder="1" applyAlignment="1" applyProtection="1">
      <alignment horizontal="center"/>
    </xf>
    <xf numFmtId="0" fontId="3" fillId="0" borderId="0" xfId="1" applyFill="1" applyAlignment="1" applyProtection="1"/>
    <xf numFmtId="0" fontId="4" fillId="0" borderId="7" xfId="1" applyFont="1" applyFill="1" applyBorder="1" applyAlignment="1" applyProtection="1">
      <alignment horizontal="center"/>
    </xf>
    <xf numFmtId="0" fontId="9" fillId="0" borderId="0" xfId="0" applyFont="1" applyAlignment="1" applyProtection="1"/>
    <xf numFmtId="38" fontId="3" fillId="0" borderId="21" xfId="2" applyFill="1" applyBorder="1" applyAlignment="1">
      <alignment horizontal="right"/>
    </xf>
    <xf numFmtId="0" fontId="23" fillId="0" borderId="3" xfId="0" applyFont="1" applyBorder="1" applyAlignment="1" applyProtection="1">
      <alignment horizontal="center"/>
      <protection locked="0"/>
    </xf>
    <xf numFmtId="0" fontId="3" fillId="0" borderId="24" xfId="1" applyFill="1" applyBorder="1" applyAlignment="1" applyProtection="1">
      <alignment horizontal="center"/>
    </xf>
    <xf numFmtId="38" fontId="3" fillId="0" borderId="29" xfId="2" applyFont="1" applyFill="1" applyBorder="1" applyAlignment="1" applyProtection="1">
      <alignment horizontal="right"/>
    </xf>
    <xf numFmtId="38" fontId="3" fillId="0" borderId="31" xfId="2" applyFill="1" applyBorder="1" applyAlignment="1" applyProtection="1">
      <alignment horizontal="right"/>
    </xf>
    <xf numFmtId="38" fontId="3" fillId="0" borderId="32" xfId="2" applyFont="1" applyFill="1" applyBorder="1" applyAlignment="1" applyProtection="1">
      <alignment horizontal="right"/>
    </xf>
    <xf numFmtId="0" fontId="23" fillId="0" borderId="0" xfId="0" applyFont="1" applyBorder="1"/>
    <xf numFmtId="0" fontId="3" fillId="0" borderId="0" xfId="1" applyFill="1" applyBorder="1" applyAlignment="1">
      <alignment horizontal="center"/>
    </xf>
    <xf numFmtId="0" fontId="32" fillId="0" borderId="0" xfId="1" applyFont="1" applyFill="1" applyBorder="1" applyAlignment="1">
      <alignment horizontal="center"/>
    </xf>
    <xf numFmtId="0" fontId="31" fillId="0" borderId="0" xfId="0" applyFont="1" applyBorder="1"/>
    <xf numFmtId="0" fontId="9" fillId="0" borderId="69" xfId="0" applyFont="1" applyBorder="1"/>
    <xf numFmtId="0" fontId="9" fillId="0" borderId="70" xfId="0" applyFont="1" applyBorder="1"/>
    <xf numFmtId="0" fontId="9" fillId="0" borderId="71" xfId="0" applyFont="1" applyBorder="1"/>
    <xf numFmtId="0" fontId="9" fillId="0" borderId="0" xfId="0" applyFont="1" applyBorder="1"/>
    <xf numFmtId="0" fontId="9" fillId="0" borderId="0" xfId="0" applyFont="1" applyBorder="1" applyAlignment="1">
      <alignment horizontal="left"/>
    </xf>
    <xf numFmtId="0" fontId="9" fillId="0" borderId="72" xfId="0" applyFont="1" applyBorder="1"/>
    <xf numFmtId="180" fontId="9" fillId="0" borderId="0" xfId="0" applyNumberFormat="1" applyFont="1" applyBorder="1" applyAlignment="1">
      <alignment horizontal="left"/>
    </xf>
    <xf numFmtId="0" fontId="9" fillId="0" borderId="73" xfId="0" applyFont="1" applyBorder="1"/>
    <xf numFmtId="0" fontId="9" fillId="0" borderId="74" xfId="0" applyFont="1" applyBorder="1"/>
    <xf numFmtId="0" fontId="23" fillId="0" borderId="32" xfId="0" applyFont="1" applyBorder="1"/>
    <xf numFmtId="0" fontId="23" fillId="0" borderId="1" xfId="0" applyFont="1" applyBorder="1"/>
    <xf numFmtId="0" fontId="9" fillId="2" borderId="32" xfId="0" applyFont="1" applyFill="1" applyBorder="1"/>
    <xf numFmtId="0" fontId="3" fillId="0" borderId="1" xfId="1" applyFill="1" applyBorder="1" applyAlignment="1">
      <alignment horizontal="center"/>
    </xf>
    <xf numFmtId="0" fontId="31" fillId="0" borderId="1" xfId="0" applyFont="1" applyBorder="1" applyAlignment="1">
      <alignment horizontal="center"/>
    </xf>
    <xf numFmtId="0" fontId="23" fillId="0" borderId="32" xfId="0" applyFont="1" applyFill="1" applyBorder="1"/>
    <xf numFmtId="0" fontId="31" fillId="0" borderId="1" xfId="0" applyFont="1" applyBorder="1"/>
    <xf numFmtId="0" fontId="23" fillId="5" borderId="0" xfId="0" applyFont="1" applyFill="1" applyBorder="1" applyProtection="1">
      <protection locked="0"/>
    </xf>
    <xf numFmtId="0" fontId="23" fillId="0" borderId="0" xfId="0" applyFont="1" applyBorder="1" applyAlignment="1">
      <alignment horizontal="center"/>
    </xf>
    <xf numFmtId="0" fontId="16" fillId="0" borderId="0" xfId="0" applyFont="1" applyBorder="1"/>
    <xf numFmtId="0" fontId="7" fillId="0" borderId="0" xfId="0" applyFont="1" applyBorder="1" applyAlignment="1">
      <alignment vertical="center"/>
    </xf>
    <xf numFmtId="0" fontId="23" fillId="0" borderId="32" xfId="0" applyFont="1" applyBorder="1" applyAlignment="1">
      <alignment horizontal="center"/>
    </xf>
    <xf numFmtId="0" fontId="23" fillId="0" borderId="76" xfId="0" applyFont="1" applyBorder="1"/>
    <xf numFmtId="0" fontId="23" fillId="0" borderId="77" xfId="0" applyFont="1" applyBorder="1"/>
    <xf numFmtId="0" fontId="23" fillId="0" borderId="76" xfId="0" applyFont="1" applyBorder="1" applyAlignment="1">
      <alignment horizontal="center"/>
    </xf>
    <xf numFmtId="0" fontId="31" fillId="0" borderId="76" xfId="0" applyFont="1" applyBorder="1"/>
    <xf numFmtId="0" fontId="23" fillId="0" borderId="78" xfId="0" applyFont="1" applyBorder="1"/>
    <xf numFmtId="0" fontId="23" fillId="0" borderId="13" xfId="0" applyFont="1" applyBorder="1"/>
    <xf numFmtId="0" fontId="23" fillId="0" borderId="79" xfId="0" applyFont="1" applyBorder="1"/>
    <xf numFmtId="0" fontId="23" fillId="0" borderId="80" xfId="0" applyFont="1" applyBorder="1"/>
    <xf numFmtId="0" fontId="23" fillId="0" borderId="81" xfId="0" applyFont="1" applyBorder="1"/>
    <xf numFmtId="0" fontId="23" fillId="0" borderId="82" xfId="0" applyFont="1" applyBorder="1"/>
    <xf numFmtId="0" fontId="23" fillId="0" borderId="27" xfId="0" applyFont="1" applyBorder="1"/>
    <xf numFmtId="0" fontId="23" fillId="0" borderId="25" xfId="0" applyFont="1" applyBorder="1"/>
    <xf numFmtId="0" fontId="23" fillId="0" borderId="26" xfId="0" applyFont="1" applyBorder="1"/>
    <xf numFmtId="0" fontId="9" fillId="2" borderId="75" xfId="0" applyFont="1" applyFill="1" applyBorder="1"/>
    <xf numFmtId="0" fontId="3" fillId="0" borderId="24" xfId="1" applyFill="1" applyBorder="1" applyAlignment="1" applyProtection="1">
      <alignment horizontal="center"/>
    </xf>
    <xf numFmtId="0" fontId="0" fillId="0" borderId="16" xfId="0"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1" fontId="0" fillId="0" borderId="22" xfId="0" applyNumberFormat="1" applyBorder="1" applyAlignment="1">
      <alignment vertical="center"/>
    </xf>
    <xf numFmtId="0" fontId="0" fillId="0" borderId="22" xfId="0" applyBorder="1" applyAlignment="1">
      <alignment horizontal="left" vertical="center"/>
    </xf>
    <xf numFmtId="0" fontId="0" fillId="0" borderId="23" xfId="0" applyBorder="1" applyAlignment="1">
      <alignment vertical="center"/>
    </xf>
    <xf numFmtId="0" fontId="0" fillId="0" borderId="24"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38" fontId="3" fillId="0" borderId="27" xfId="2" applyFont="1" applyFill="1" applyBorder="1" applyAlignment="1">
      <alignment horizontal="righ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3" xfId="0" applyBorder="1" applyAlignment="1">
      <alignment vertical="center"/>
    </xf>
    <xf numFmtId="0" fontId="0" fillId="0" borderId="47" xfId="0" applyBorder="1" applyAlignment="1">
      <alignment horizontal="center" vertical="center"/>
    </xf>
    <xf numFmtId="0" fontId="0" fillId="0" borderId="35" xfId="0" applyBorder="1" applyAlignment="1">
      <alignment vertical="center"/>
    </xf>
    <xf numFmtId="0" fontId="0" fillId="0" borderId="40" xfId="0" applyBorder="1" applyAlignment="1">
      <alignment vertical="center"/>
    </xf>
    <xf numFmtId="38" fontId="3" fillId="0" borderId="41" xfId="2" applyFont="1" applyFill="1" applyBorder="1" applyAlignment="1">
      <alignment horizontal="right" vertical="center"/>
    </xf>
    <xf numFmtId="0" fontId="0" fillId="0" borderId="37" xfId="0" applyBorder="1" applyAlignment="1">
      <alignment vertical="center"/>
    </xf>
    <xf numFmtId="0" fontId="0" fillId="0" borderId="38" xfId="0" applyBorder="1" applyAlignment="1">
      <alignment vertical="center"/>
    </xf>
    <xf numFmtId="1" fontId="0" fillId="0" borderId="38" xfId="0" applyNumberFormat="1" applyBorder="1" applyAlignment="1">
      <alignment vertical="center"/>
    </xf>
    <xf numFmtId="0" fontId="0" fillId="0" borderId="38" xfId="0" applyBorder="1" applyAlignment="1">
      <alignment horizontal="left" vertical="center"/>
    </xf>
    <xf numFmtId="0" fontId="0" fillId="0" borderId="42" xfId="0" applyBorder="1" applyAlignment="1">
      <alignment vertical="center"/>
    </xf>
    <xf numFmtId="38" fontId="3" fillId="0" borderId="19" xfId="2" applyFill="1" applyBorder="1" applyAlignment="1">
      <alignment horizontal="right" vertical="center"/>
    </xf>
    <xf numFmtId="38" fontId="3" fillId="0" borderId="31" xfId="2" applyFont="1" applyFill="1" applyBorder="1" applyAlignment="1">
      <alignment horizontal="right" vertical="center"/>
    </xf>
    <xf numFmtId="38" fontId="3" fillId="0" borderId="27" xfId="2" applyNumberFormat="1" applyFill="1" applyBorder="1" applyAlignment="1" applyProtection="1">
      <alignment horizontal="right"/>
    </xf>
    <xf numFmtId="0" fontId="0" fillId="0" borderId="48" xfId="0" applyBorder="1" applyAlignment="1">
      <alignment horizontal="center" vertical="center"/>
    </xf>
    <xf numFmtId="0" fontId="33" fillId="0" borderId="0" xfId="0" applyFont="1" applyFill="1" applyBorder="1" applyAlignment="1" applyProtection="1">
      <alignment horizontal="left"/>
      <protection locked="0"/>
    </xf>
    <xf numFmtId="0" fontId="3" fillId="0" borderId="32" xfId="1" applyFill="1" applyBorder="1" applyAlignment="1" applyProtection="1">
      <alignment horizontal="center"/>
    </xf>
    <xf numFmtId="0" fontId="4" fillId="0" borderId="83" xfId="1" applyFont="1" applyFill="1" applyBorder="1" applyAlignment="1" applyProtection="1">
      <alignment horizontal="center" vertical="center"/>
    </xf>
    <xf numFmtId="0" fontId="3" fillId="2" borderId="32" xfId="1" applyFill="1" applyBorder="1" applyAlignment="1" applyProtection="1">
      <alignment horizontal="center" vertical="center"/>
      <protection locked="0"/>
    </xf>
    <xf numFmtId="0" fontId="4" fillId="0" borderId="83" xfId="1" applyFont="1" applyFill="1" applyBorder="1" applyAlignment="1" applyProtection="1">
      <alignment horizontal="center"/>
    </xf>
    <xf numFmtId="0" fontId="3" fillId="0" borderId="32" xfId="1" applyFill="1" applyBorder="1" applyAlignment="1" applyProtection="1">
      <alignment horizontal="center" vertical="center"/>
    </xf>
    <xf numFmtId="0" fontId="3" fillId="0" borderId="32" xfId="1" applyFill="1" applyBorder="1" applyAlignment="1"/>
    <xf numFmtId="0" fontId="4" fillId="0" borderId="83" xfId="1" applyFont="1" applyFill="1" applyBorder="1" applyAlignment="1">
      <alignment horizontal="center" vertical="center"/>
    </xf>
    <xf numFmtId="0" fontId="3" fillId="0" borderId="32" xfId="1" applyFill="1" applyBorder="1" applyAlignment="1">
      <alignment horizontal="center" vertical="center"/>
    </xf>
    <xf numFmtId="0" fontId="3" fillId="0" borderId="32" xfId="1" applyBorder="1" applyAlignment="1"/>
    <xf numFmtId="0" fontId="3" fillId="0" borderId="32" xfId="1" applyBorder="1" applyAlignment="1">
      <alignment horizontal="left"/>
    </xf>
    <xf numFmtId="0" fontId="31" fillId="0" borderId="0" xfId="0" applyFont="1" applyBorder="1" applyAlignment="1">
      <alignment horizontal="center"/>
    </xf>
    <xf numFmtId="0" fontId="23" fillId="0" borderId="61" xfId="0" applyFont="1" applyBorder="1" applyAlignment="1" applyProtection="1">
      <alignment vertical="center"/>
      <protection locked="0"/>
    </xf>
    <xf numFmtId="0" fontId="24" fillId="0" borderId="0" xfId="1" applyFont="1" applyFill="1" applyBorder="1" applyAlignment="1" applyProtection="1">
      <alignment vertical="center"/>
      <protection locked="0"/>
    </xf>
    <xf numFmtId="0" fontId="23" fillId="7" borderId="0" xfId="0" applyFont="1" applyFill="1" applyBorder="1" applyProtection="1">
      <protection locked="0"/>
    </xf>
    <xf numFmtId="0" fontId="23" fillId="3" borderId="53" xfId="0" applyFont="1" applyFill="1" applyBorder="1" applyAlignment="1" applyProtection="1">
      <alignment horizontal="center"/>
      <protection locked="0"/>
    </xf>
    <xf numFmtId="0" fontId="23" fillId="3" borderId="54" xfId="0" applyFont="1" applyFill="1" applyBorder="1" applyAlignment="1" applyProtection="1">
      <alignment horizontal="center"/>
      <protection locked="0"/>
    </xf>
    <xf numFmtId="0" fontId="23" fillId="3" borderId="55" xfId="0" applyFont="1" applyFill="1" applyBorder="1" applyAlignment="1" applyProtection="1">
      <alignment horizontal="center"/>
      <protection locked="0"/>
    </xf>
    <xf numFmtId="0" fontId="23" fillId="0" borderId="3" xfId="0" applyFont="1" applyBorder="1" applyAlignment="1" applyProtection="1">
      <alignment horizontal="left" vertical="top" shrinkToFit="1"/>
      <protection locked="0"/>
    </xf>
    <xf numFmtId="0" fontId="23" fillId="0" borderId="6" xfId="0" applyFont="1" applyBorder="1" applyAlignment="1" applyProtection="1">
      <alignment horizontal="left" vertical="top" shrinkToFit="1"/>
      <protection locked="0"/>
    </xf>
    <xf numFmtId="0" fontId="23" fillId="0" borderId="52" xfId="0" applyFont="1" applyFill="1" applyBorder="1" applyAlignment="1" applyProtection="1">
      <alignment horizontal="center"/>
      <protection locked="0"/>
    </xf>
    <xf numFmtId="0" fontId="23" fillId="0" borderId="3" xfId="0" applyFont="1" applyFill="1" applyBorder="1" applyAlignment="1" applyProtection="1">
      <alignment horizontal="center"/>
      <protection locked="0"/>
    </xf>
    <xf numFmtId="0" fontId="23" fillId="0" borderId="60" xfId="0" applyFont="1" applyFill="1" applyBorder="1" applyAlignment="1" applyProtection="1">
      <alignment horizontal="center"/>
      <protection locked="0"/>
    </xf>
    <xf numFmtId="0" fontId="23" fillId="0" borderId="38" xfId="0" applyFont="1" applyFill="1" applyBorder="1" applyAlignment="1" applyProtection="1">
      <alignment horizontal="center"/>
      <protection locked="0"/>
    </xf>
    <xf numFmtId="176" fontId="23" fillId="0" borderId="53" xfId="0" applyNumberFormat="1" applyFont="1" applyFill="1" applyBorder="1" applyAlignment="1" applyProtection="1">
      <alignment horizontal="left"/>
      <protection locked="0"/>
    </xf>
    <xf numFmtId="176" fontId="23" fillId="0" borderId="54" xfId="0" applyNumberFormat="1" applyFont="1" applyFill="1" applyBorder="1" applyAlignment="1" applyProtection="1">
      <alignment horizontal="left"/>
      <protection locked="0"/>
    </xf>
    <xf numFmtId="176" fontId="23" fillId="0" borderId="55" xfId="0" applyNumberFormat="1" applyFont="1" applyFill="1" applyBorder="1" applyAlignment="1" applyProtection="1">
      <alignment horizontal="left"/>
      <protection locked="0"/>
    </xf>
    <xf numFmtId="0" fontId="23" fillId="0" borderId="38" xfId="0" applyFont="1" applyFill="1" applyBorder="1" applyAlignment="1" applyProtection="1">
      <alignment horizontal="left" vertical="top" wrapText="1"/>
      <protection locked="0"/>
    </xf>
    <xf numFmtId="0" fontId="23" fillId="0" borderId="39" xfId="0" applyFont="1" applyFill="1" applyBorder="1" applyAlignment="1" applyProtection="1">
      <alignment horizontal="left" vertical="top" wrapText="1"/>
      <protection locked="0"/>
    </xf>
    <xf numFmtId="0" fontId="23" fillId="0" borderId="61" xfId="0" applyFont="1" applyFill="1" applyBorder="1" applyAlignment="1" applyProtection="1">
      <alignment horizontal="center"/>
      <protection locked="0"/>
    </xf>
    <xf numFmtId="0" fontId="23" fillId="0" borderId="0" xfId="0" applyFont="1" applyFill="1" applyBorder="1" applyAlignment="1" applyProtection="1">
      <alignment horizontal="center"/>
      <protection locked="0"/>
    </xf>
    <xf numFmtId="0" fontId="23" fillId="0" borderId="3"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62" xfId="0" applyFont="1" applyBorder="1" applyAlignment="1" applyProtection="1">
      <alignment horizontal="center"/>
      <protection locked="0"/>
    </xf>
    <xf numFmtId="0" fontId="23" fillId="0" borderId="63" xfId="0" applyFont="1" applyBorder="1" applyAlignment="1" applyProtection="1">
      <alignment horizontal="center"/>
      <protection locked="0"/>
    </xf>
    <xf numFmtId="0" fontId="23" fillId="0" borderId="56"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47" xfId="0" applyFont="1" applyBorder="1" applyAlignment="1" applyProtection="1">
      <alignment horizontal="center"/>
      <protection locked="0"/>
    </xf>
    <xf numFmtId="0" fontId="23" fillId="0" borderId="41" xfId="0" applyFont="1" applyBorder="1" applyAlignment="1" applyProtection="1">
      <alignment horizontal="center"/>
      <protection locked="0"/>
    </xf>
    <xf numFmtId="0" fontId="23" fillId="0" borderId="34" xfId="0" applyFont="1" applyBorder="1" applyAlignment="1" applyProtection="1">
      <alignment horizontal="center"/>
      <protection locked="0"/>
    </xf>
    <xf numFmtId="0" fontId="23" fillId="0" borderId="37" xfId="0" applyFont="1" applyBorder="1" applyAlignment="1" applyProtection="1">
      <alignment horizontal="center"/>
      <protection locked="0"/>
    </xf>
    <xf numFmtId="0" fontId="23" fillId="0" borderId="59" xfId="0" applyFont="1" applyBorder="1" applyAlignment="1" applyProtection="1">
      <alignment horizontal="center"/>
      <protection locked="0"/>
    </xf>
    <xf numFmtId="0" fontId="23" fillId="0" borderId="43" xfId="0" applyFont="1" applyBorder="1" applyAlignment="1" applyProtection="1">
      <alignment horizontal="center"/>
      <protection locked="0"/>
    </xf>
    <xf numFmtId="0" fontId="31" fillId="0" borderId="0" xfId="0" applyFont="1" applyBorder="1" applyAlignment="1">
      <alignment horizontal="center"/>
    </xf>
    <xf numFmtId="0" fontId="23" fillId="0" borderId="0" xfId="0" applyFont="1" applyAlignment="1" applyProtection="1">
      <alignment horizontal="center"/>
      <protection locked="0"/>
    </xf>
    <xf numFmtId="0" fontId="23" fillId="0" borderId="38" xfId="0" applyFont="1" applyBorder="1" applyAlignment="1" applyProtection="1">
      <alignment horizontal="left" vertical="top" wrapText="1"/>
      <protection locked="0"/>
    </xf>
    <xf numFmtId="0" fontId="23" fillId="0" borderId="47" xfId="0" applyFont="1" applyBorder="1" applyAlignment="1" applyProtection="1">
      <alignment horizontal="center" shrinkToFit="1"/>
      <protection locked="0"/>
    </xf>
    <xf numFmtId="0" fontId="23" fillId="0" borderId="41" xfId="0" applyFont="1" applyBorder="1" applyAlignment="1" applyProtection="1">
      <alignment horizontal="center" shrinkToFit="1"/>
      <protection locked="0"/>
    </xf>
    <xf numFmtId="0" fontId="23" fillId="0" borderId="24" xfId="0" applyFont="1" applyBorder="1" applyAlignment="1" applyProtection="1">
      <alignment horizontal="center"/>
      <protection locked="0"/>
    </xf>
    <xf numFmtId="0" fontId="23" fillId="0" borderId="27" xfId="0" applyFont="1" applyBorder="1" applyAlignment="1" applyProtection="1">
      <alignment horizontal="center"/>
      <protection locked="0"/>
    </xf>
    <xf numFmtId="0" fontId="23" fillId="0" borderId="67" xfId="0" applyFont="1" applyFill="1" applyBorder="1" applyAlignment="1" applyProtection="1">
      <alignment horizontal="left"/>
      <protection locked="0"/>
    </xf>
    <xf numFmtId="0" fontId="23" fillId="0" borderId="44" xfId="0" applyFont="1" applyFill="1" applyBorder="1" applyAlignment="1" applyProtection="1">
      <alignment horizontal="left"/>
      <protection locked="0"/>
    </xf>
    <xf numFmtId="0" fontId="23" fillId="0" borderId="46" xfId="0" applyFont="1" applyFill="1" applyBorder="1" applyAlignment="1" applyProtection="1">
      <alignment horizontal="left"/>
      <protection locked="0"/>
    </xf>
    <xf numFmtId="0" fontId="23" fillId="0" borderId="66" xfId="0" applyFont="1" applyFill="1" applyBorder="1" applyAlignment="1" applyProtection="1">
      <alignment horizontal="left"/>
      <protection locked="0"/>
    </xf>
    <xf numFmtId="0" fontId="23" fillId="0" borderId="25" xfId="0" applyFont="1" applyFill="1" applyBorder="1" applyAlignment="1" applyProtection="1">
      <alignment horizontal="left"/>
      <protection locked="0"/>
    </xf>
    <xf numFmtId="0" fontId="23" fillId="0" borderId="28" xfId="0" applyFont="1" applyFill="1" applyBorder="1" applyAlignment="1" applyProtection="1">
      <alignment horizontal="left"/>
      <protection locked="0"/>
    </xf>
    <xf numFmtId="0" fontId="23" fillId="0" borderId="65" xfId="0" applyFont="1" applyFill="1" applyBorder="1" applyAlignment="1" applyProtection="1">
      <alignment horizontal="left"/>
      <protection locked="0"/>
    </xf>
    <xf numFmtId="0" fontId="23" fillId="0" borderId="35" xfId="0" applyFont="1" applyFill="1" applyBorder="1" applyAlignment="1" applyProtection="1">
      <alignment horizontal="left"/>
      <protection locked="0"/>
    </xf>
    <xf numFmtId="0" fontId="23" fillId="0" borderId="42" xfId="0" applyFont="1" applyFill="1" applyBorder="1" applyAlignment="1" applyProtection="1">
      <alignment horizontal="left"/>
      <protection locked="0"/>
    </xf>
    <xf numFmtId="0" fontId="23" fillId="4" borderId="64" xfId="0" applyFont="1" applyFill="1" applyBorder="1" applyAlignment="1" applyProtection="1">
      <alignment horizontal="left"/>
      <protection locked="0"/>
    </xf>
    <xf numFmtId="0" fontId="23" fillId="4" borderId="22" xfId="0" applyFont="1" applyFill="1" applyBorder="1" applyAlignment="1" applyProtection="1">
      <alignment horizontal="left"/>
      <protection locked="0"/>
    </xf>
    <xf numFmtId="0" fontId="23" fillId="4" borderId="50" xfId="0" applyFont="1" applyFill="1" applyBorder="1" applyAlignment="1" applyProtection="1">
      <alignment horizontal="left"/>
      <protection locked="0"/>
    </xf>
    <xf numFmtId="0" fontId="23" fillId="0" borderId="53" xfId="0" applyFont="1" applyFill="1" applyBorder="1" applyAlignment="1" applyProtection="1">
      <alignment horizontal="left"/>
      <protection locked="0"/>
    </xf>
    <xf numFmtId="0" fontId="23" fillId="0" borderId="54" xfId="0" applyFont="1" applyFill="1" applyBorder="1" applyAlignment="1" applyProtection="1">
      <alignment horizontal="left"/>
      <protection locked="0"/>
    </xf>
    <xf numFmtId="0" fontId="23" fillId="0" borderId="55" xfId="0" applyFont="1" applyFill="1" applyBorder="1" applyAlignment="1" applyProtection="1">
      <alignment horizontal="left"/>
      <protection locked="0"/>
    </xf>
    <xf numFmtId="0" fontId="23" fillId="4" borderId="47" xfId="0" applyFont="1" applyFill="1" applyBorder="1" applyAlignment="1" applyProtection="1">
      <alignment horizontal="left"/>
      <protection locked="0"/>
    </xf>
    <xf numFmtId="0" fontId="23" fillId="4" borderId="57" xfId="0" applyFont="1" applyFill="1" applyBorder="1" applyAlignment="1" applyProtection="1">
      <alignment horizontal="left"/>
      <protection locked="0"/>
    </xf>
    <xf numFmtId="0" fontId="23" fillId="4" borderId="58" xfId="0" applyFont="1" applyFill="1" applyBorder="1" applyAlignment="1" applyProtection="1">
      <alignment horizontal="left"/>
      <protection locked="0"/>
    </xf>
    <xf numFmtId="0" fontId="26" fillId="0" borderId="60" xfId="0" applyFont="1" applyBorder="1" applyAlignment="1" applyProtection="1">
      <alignment horizontal="right" vertical="center" wrapText="1" shrinkToFit="1"/>
      <protection locked="0"/>
    </xf>
    <xf numFmtId="0" fontId="26" fillId="0" borderId="38" xfId="0" applyFont="1" applyBorder="1" applyAlignment="1" applyProtection="1">
      <alignment horizontal="right" vertical="center" wrapText="1" shrinkToFit="1"/>
      <protection locked="0"/>
    </xf>
    <xf numFmtId="181" fontId="3" fillId="0" borderId="0" xfId="3" applyNumberFormat="1" applyFont="1" applyAlignment="1">
      <alignment horizontal="right"/>
    </xf>
    <xf numFmtId="0" fontId="3" fillId="0" borderId="0" xfId="3" applyFont="1" applyAlignment="1">
      <alignment horizontal="left" shrinkToFit="1"/>
    </xf>
    <xf numFmtId="179" fontId="9" fillId="0" borderId="0" xfId="0" applyNumberFormat="1" applyFont="1" applyAlignment="1"/>
    <xf numFmtId="178" fontId="9" fillId="0" borderId="0" xfId="0" applyNumberFormat="1" applyFont="1" applyAlignment="1">
      <alignment horizontal="right"/>
    </xf>
    <xf numFmtId="0" fontId="19" fillId="0" borderId="0" xfId="0" applyFont="1" applyAlignment="1">
      <alignment horizontal="left" vertical="center" shrinkToFit="1"/>
    </xf>
    <xf numFmtId="0" fontId="19" fillId="0" borderId="0" xfId="0" applyFont="1" applyAlignment="1">
      <alignment horizontal="left" vertical="center"/>
    </xf>
    <xf numFmtId="178" fontId="9" fillId="0" borderId="0" xfId="0" applyNumberFormat="1" applyFont="1" applyAlignment="1">
      <alignment horizontal="center"/>
    </xf>
    <xf numFmtId="0" fontId="29" fillId="6" borderId="0" xfId="1" applyFont="1" applyFill="1" applyAlignment="1">
      <alignment horizontal="left"/>
    </xf>
    <xf numFmtId="0" fontId="3" fillId="0" borderId="0" xfId="1" applyFill="1" applyAlignment="1">
      <alignment horizontal="center"/>
    </xf>
    <xf numFmtId="0" fontId="3" fillId="0" borderId="2" xfId="1" applyFill="1" applyBorder="1" applyAlignment="1">
      <alignment horizontal="center"/>
    </xf>
    <xf numFmtId="0" fontId="3" fillId="0" borderId="8" xfId="1" applyFill="1" applyBorder="1" applyAlignment="1">
      <alignment horizontal="center"/>
    </xf>
    <xf numFmtId="0" fontId="3" fillId="0" borderId="3" xfId="1" applyFill="1" applyBorder="1" applyAlignment="1">
      <alignment horizontal="center" wrapText="1"/>
    </xf>
    <xf numFmtId="0" fontId="3" fillId="0" borderId="4" xfId="1" applyFill="1" applyBorder="1" applyAlignment="1">
      <alignment horizontal="center" wrapText="1"/>
    </xf>
    <xf numFmtId="0" fontId="3" fillId="0" borderId="5" xfId="1" applyFont="1" applyFill="1" applyBorder="1" applyAlignment="1">
      <alignment horizontal="center"/>
    </xf>
    <xf numFmtId="0" fontId="3" fillId="0" borderId="3" xfId="1" applyFont="1" applyFill="1" applyBorder="1" applyAlignment="1">
      <alignment horizontal="center"/>
    </xf>
    <xf numFmtId="0" fontId="3" fillId="0" borderId="6" xfId="1" applyFont="1" applyFill="1" applyBorder="1" applyAlignment="1">
      <alignment horizontal="center"/>
    </xf>
    <xf numFmtId="0" fontId="3" fillId="0" borderId="12" xfId="1" applyFont="1" applyFill="1" applyBorder="1" applyAlignment="1">
      <alignment horizontal="center"/>
    </xf>
    <xf numFmtId="0" fontId="3" fillId="0" borderId="13" xfId="1" applyFont="1" applyFill="1" applyBorder="1" applyAlignment="1">
      <alignment horizontal="center"/>
    </xf>
    <xf numFmtId="0" fontId="3" fillId="0" borderId="14" xfId="1" applyFont="1" applyFill="1" applyBorder="1" applyAlignment="1">
      <alignment horizontal="center"/>
    </xf>
    <xf numFmtId="0" fontId="3" fillId="0" borderId="5" xfId="1" applyFill="1" applyBorder="1" applyAlignment="1">
      <alignment horizontal="center" wrapText="1"/>
    </xf>
    <xf numFmtId="0" fontId="3" fillId="0" borderId="6" xfId="1" applyFill="1" applyBorder="1" applyAlignment="1">
      <alignment horizontal="center" wrapText="1"/>
    </xf>
    <xf numFmtId="0" fontId="3" fillId="0" borderId="9" xfId="1" applyFill="1" applyBorder="1" applyAlignment="1">
      <alignment horizontal="center" vertical="top" wrapText="1"/>
    </xf>
    <xf numFmtId="0" fontId="3" fillId="0" borderId="10" xfId="1" applyFill="1" applyBorder="1" applyAlignment="1">
      <alignment horizontal="center"/>
    </xf>
    <xf numFmtId="0" fontId="3" fillId="0" borderId="9" xfId="1" applyFill="1" applyBorder="1" applyAlignment="1">
      <alignment horizontal="center"/>
    </xf>
    <xf numFmtId="0" fontId="3" fillId="0" borderId="11" xfId="1" applyFill="1" applyBorder="1" applyAlignment="1">
      <alignment horizontal="center"/>
    </xf>
    <xf numFmtId="177" fontId="3" fillId="0" borderId="9" xfId="1" applyNumberFormat="1" applyFill="1" applyBorder="1" applyAlignment="1">
      <alignment horizontal="center" wrapText="1"/>
    </xf>
    <xf numFmtId="177" fontId="3" fillId="0" borderId="15" xfId="1" applyNumberFormat="1" applyFill="1" applyBorder="1" applyAlignment="1">
      <alignment horizontal="center" wrapText="1"/>
    </xf>
    <xf numFmtId="0" fontId="3" fillId="0" borderId="9" xfId="1" applyFill="1" applyBorder="1" applyAlignment="1" applyProtection="1">
      <alignment horizontal="center" wrapText="1"/>
    </xf>
    <xf numFmtId="0" fontId="3" fillId="0" borderId="10" xfId="1" applyFill="1" applyBorder="1" applyAlignment="1" applyProtection="1">
      <alignment horizontal="center" wrapText="1"/>
    </xf>
    <xf numFmtId="0" fontId="3" fillId="0" borderId="9" xfId="1" applyFill="1" applyBorder="1" applyAlignment="1" applyProtection="1">
      <alignment horizontal="center"/>
    </xf>
    <xf numFmtId="0" fontId="3" fillId="0" borderId="11" xfId="1" applyFill="1" applyBorder="1" applyAlignment="1" applyProtection="1">
      <alignment horizontal="center"/>
    </xf>
    <xf numFmtId="0" fontId="3" fillId="0" borderId="10" xfId="1" applyFill="1" applyBorder="1" applyAlignment="1" applyProtection="1">
      <alignment horizontal="center"/>
    </xf>
    <xf numFmtId="177" fontId="3" fillId="0" borderId="9" xfId="1" applyNumberFormat="1" applyFill="1" applyBorder="1" applyAlignment="1" applyProtection="1">
      <alignment horizontal="center" wrapText="1"/>
    </xf>
    <xf numFmtId="177" fontId="3" fillId="0" borderId="15" xfId="1" applyNumberFormat="1" applyFill="1" applyBorder="1" applyAlignment="1" applyProtection="1">
      <alignment horizontal="center" wrapText="1"/>
    </xf>
    <xf numFmtId="0" fontId="3" fillId="0" borderId="0" xfId="1" applyFill="1" applyAlignment="1" applyProtection="1">
      <alignment horizontal="center"/>
    </xf>
    <xf numFmtId="0" fontId="3" fillId="0" borderId="2" xfId="1" applyFill="1" applyBorder="1" applyAlignment="1" applyProtection="1">
      <alignment horizontal="center"/>
    </xf>
    <xf numFmtId="0" fontId="3" fillId="0" borderId="8" xfId="1" applyFill="1" applyBorder="1" applyAlignment="1" applyProtection="1">
      <alignment horizontal="center"/>
    </xf>
    <xf numFmtId="0" fontId="3" fillId="0" borderId="3" xfId="1" applyFill="1" applyBorder="1" applyAlignment="1" applyProtection="1">
      <alignment horizontal="center" wrapText="1"/>
    </xf>
    <xf numFmtId="0" fontId="3" fillId="0" borderId="4" xfId="1" applyFill="1" applyBorder="1" applyAlignment="1" applyProtection="1">
      <alignment horizontal="center" wrapText="1"/>
    </xf>
    <xf numFmtId="0" fontId="4" fillId="0" borderId="5" xfId="1" applyFont="1" applyFill="1" applyBorder="1" applyAlignment="1" applyProtection="1">
      <alignment horizontal="center"/>
    </xf>
    <xf numFmtId="0" fontId="4" fillId="0" borderId="3" xfId="1" applyFont="1" applyFill="1" applyBorder="1" applyAlignment="1" applyProtection="1">
      <alignment horizontal="center"/>
    </xf>
    <xf numFmtId="0" fontId="4" fillId="0" borderId="6" xfId="1" applyFont="1" applyFill="1" applyBorder="1" applyAlignment="1" applyProtection="1">
      <alignment horizontal="center"/>
    </xf>
    <xf numFmtId="0" fontId="4" fillId="0" borderId="12" xfId="1" applyFont="1" applyFill="1" applyBorder="1" applyAlignment="1" applyProtection="1">
      <alignment horizontal="center"/>
    </xf>
    <xf numFmtId="0" fontId="4" fillId="0" borderId="13" xfId="1" applyFont="1" applyFill="1" applyBorder="1" applyAlignment="1" applyProtection="1">
      <alignment horizontal="center"/>
    </xf>
    <xf numFmtId="0" fontId="4" fillId="0" borderId="14" xfId="1" applyFont="1" applyFill="1" applyBorder="1" applyAlignment="1" applyProtection="1">
      <alignment horizontal="center"/>
    </xf>
    <xf numFmtId="0" fontId="3" fillId="0" borderId="6" xfId="1" applyFill="1" applyBorder="1" applyAlignment="1" applyProtection="1">
      <alignment horizontal="center" wrapText="1"/>
    </xf>
    <xf numFmtId="0" fontId="29" fillId="6" borderId="0" xfId="1" applyFont="1" applyFill="1" applyAlignment="1" applyProtection="1">
      <alignment horizontal="left"/>
      <protection locked="0"/>
    </xf>
    <xf numFmtId="0" fontId="3" fillId="0" borderId="43" xfId="1" applyFill="1" applyBorder="1" applyAlignment="1" applyProtection="1">
      <alignment horizontal="center" wrapText="1"/>
    </xf>
    <xf numFmtId="0" fontId="3" fillId="0" borderId="44" xfId="1" applyFill="1" applyBorder="1" applyAlignment="1" applyProtection="1">
      <alignment horizontal="center" wrapText="1"/>
    </xf>
    <xf numFmtId="0" fontId="3" fillId="0" borderId="45" xfId="1" applyFill="1" applyBorder="1" applyAlignment="1" applyProtection="1">
      <alignment horizontal="center" wrapText="1"/>
    </xf>
    <xf numFmtId="0" fontId="3" fillId="0" borderId="46" xfId="1" applyFill="1" applyBorder="1" applyAlignment="1" applyProtection="1">
      <alignment horizontal="center" wrapText="1"/>
    </xf>
    <xf numFmtId="0" fontId="3" fillId="0" borderId="5" xfId="1" applyFill="1" applyBorder="1" applyAlignment="1" applyProtection="1">
      <alignment horizontal="center" wrapText="1"/>
    </xf>
    <xf numFmtId="0" fontId="3" fillId="0" borderId="9" xfId="1" applyFill="1" applyBorder="1" applyAlignment="1" applyProtection="1">
      <alignment horizontal="center" vertical="top" wrapText="1"/>
    </xf>
    <xf numFmtId="0" fontId="3" fillId="0" borderId="10" xfId="1" applyFill="1" applyBorder="1" applyAlignment="1" applyProtection="1">
      <alignment horizontal="center" vertical="top" wrapText="1"/>
    </xf>
    <xf numFmtId="0" fontId="5" fillId="0" borderId="0" xfId="1" applyFont="1" applyFill="1" applyAlignment="1" applyProtection="1"/>
    <xf numFmtId="0" fontId="3" fillId="0" borderId="0" xfId="1" applyFill="1" applyAlignment="1" applyProtection="1"/>
    <xf numFmtId="0" fontId="3" fillId="0" borderId="2" xfId="1" applyBorder="1" applyAlignment="1">
      <alignment horizontal="center"/>
    </xf>
    <xf numFmtId="0" fontId="3" fillId="0" borderId="8" xfId="1" applyBorder="1" applyAlignment="1">
      <alignment horizontal="center"/>
    </xf>
    <xf numFmtId="0" fontId="3" fillId="0" borderId="3" xfId="1" applyBorder="1" applyAlignment="1">
      <alignment horizontal="center" wrapText="1"/>
    </xf>
    <xf numFmtId="0" fontId="3" fillId="0" borderId="4" xfId="1" applyBorder="1" applyAlignment="1">
      <alignment horizontal="center" wrapText="1"/>
    </xf>
    <xf numFmtId="0" fontId="4" fillId="0" borderId="5" xfId="1" applyFont="1" applyBorder="1" applyAlignment="1">
      <alignment horizontal="center"/>
    </xf>
    <xf numFmtId="0" fontId="4" fillId="0" borderId="3" xfId="1" applyFont="1" applyBorder="1" applyAlignment="1">
      <alignment horizontal="center"/>
    </xf>
    <xf numFmtId="0" fontId="4" fillId="0" borderId="6" xfId="1" applyFont="1" applyBorder="1" applyAlignment="1">
      <alignment horizontal="center"/>
    </xf>
    <xf numFmtId="0" fontId="4" fillId="0" borderId="12" xfId="1" applyFont="1" applyBorder="1" applyAlignment="1">
      <alignment horizontal="center"/>
    </xf>
    <xf numFmtId="0" fontId="4" fillId="0" borderId="13" xfId="1" applyFont="1" applyBorder="1" applyAlignment="1">
      <alignment horizontal="center"/>
    </xf>
    <xf numFmtId="0" fontId="4" fillId="0" borderId="14" xfId="1" applyFont="1" applyBorder="1" applyAlignment="1">
      <alignment horizontal="center"/>
    </xf>
    <xf numFmtId="0" fontId="3" fillId="0" borderId="9" xfId="1" applyBorder="1" applyAlignment="1">
      <alignment horizontal="center" vertical="top" wrapText="1"/>
    </xf>
    <xf numFmtId="0" fontId="3" fillId="0" borderId="10" xfId="1" applyBorder="1" applyAlignment="1">
      <alignment horizontal="center" vertical="top" wrapText="1"/>
    </xf>
    <xf numFmtId="0" fontId="3" fillId="0" borderId="9" xfId="1" applyBorder="1" applyAlignment="1">
      <alignment horizontal="center"/>
    </xf>
    <xf numFmtId="0" fontId="3" fillId="0" borderId="11" xfId="1" applyBorder="1" applyAlignment="1">
      <alignment horizontal="center"/>
    </xf>
    <xf numFmtId="0" fontId="3" fillId="0" borderId="10" xfId="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0" fillId="0" borderId="43" xfId="0" applyBorder="1" applyAlignment="1">
      <alignment horizontal="center" wrapText="1"/>
    </xf>
    <xf numFmtId="0" fontId="0" fillId="0" borderId="46" xfId="0" applyBorder="1" applyAlignment="1">
      <alignment horizontal="center" wrapText="1"/>
    </xf>
    <xf numFmtId="0" fontId="0" fillId="0" borderId="9" xfId="0" applyBorder="1" applyAlignment="1">
      <alignment horizontal="center" wrapText="1"/>
    </xf>
    <xf numFmtId="0" fontId="0" fillId="0" borderId="15" xfId="0" applyBorder="1" applyAlignment="1">
      <alignment horizontal="center" wrapText="1"/>
    </xf>
    <xf numFmtId="182" fontId="3" fillId="0" borderId="9" xfId="1" applyNumberFormat="1" applyFill="1" applyBorder="1" applyAlignment="1" applyProtection="1">
      <alignment horizontal="center" wrapText="1" shrinkToFit="1"/>
    </xf>
    <xf numFmtId="182" fontId="3" fillId="0" borderId="15" xfId="1" applyNumberFormat="1" applyFill="1" applyBorder="1" applyAlignment="1" applyProtection="1">
      <alignment horizontal="center" wrapText="1" shrinkToFit="1"/>
    </xf>
    <xf numFmtId="0" fontId="0" fillId="0" borderId="44" xfId="0" applyBorder="1" applyAlignment="1">
      <alignment horizontal="center" wrapText="1"/>
    </xf>
    <xf numFmtId="0" fontId="0" fillId="0" borderId="45" xfId="0" applyBorder="1" applyAlignment="1">
      <alignment horizontal="center" wrapText="1"/>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0" xfId="0"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35" fillId="0" borderId="38" xfId="0" applyFont="1" applyBorder="1" applyAlignment="1" applyProtection="1">
      <alignment horizontal="right"/>
      <protection locked="0"/>
    </xf>
  </cellXfs>
  <cellStyles count="5">
    <cellStyle name="ハイパーリンク" xfId="4" builtinId="8"/>
    <cellStyle name="桁区切り 2" xfId="2" xr:uid="{00000000-0005-0000-0000-000001000000}"/>
    <cellStyle name="標準" xfId="0" builtinId="0"/>
    <cellStyle name="標準 2" xfId="1" xr:uid="{00000000-0005-0000-0000-000003000000}"/>
    <cellStyle name="標準 3" xfId="3" xr:uid="{00000000-0005-0000-0000-000004000000}"/>
  </cellStyles>
  <dxfs count="10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theme="0"/>
        </patternFill>
      </fill>
    </dxf>
    <dxf>
      <font>
        <color theme="1"/>
      </font>
    </dxf>
    <dxf>
      <font>
        <color theme="1"/>
      </font>
    </dxf>
    <dxf>
      <font>
        <color theme="1"/>
      </font>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92D050"/>
    <pageSetUpPr fitToPage="1"/>
  </sheetPr>
  <dimension ref="A1:BI154"/>
  <sheetViews>
    <sheetView tabSelected="1" view="pageBreakPreview" topLeftCell="A12" zoomScale="85" zoomScaleNormal="85" zoomScaleSheetLayoutView="85" workbookViewId="0">
      <selection activeCell="F28" sqref="F28"/>
    </sheetView>
  </sheetViews>
  <sheetFormatPr defaultColWidth="9" defaultRowHeight="15" x14ac:dyDescent="0.3"/>
  <cols>
    <col min="1" max="1" width="3.88671875" style="86" customWidth="1"/>
    <col min="2" max="2" width="11.21875" style="86" customWidth="1"/>
    <col min="3" max="3" width="6.6640625" style="86" customWidth="1"/>
    <col min="4" max="4" width="17.88671875" style="86" customWidth="1"/>
    <col min="5" max="5" width="9" style="86" customWidth="1"/>
    <col min="6" max="6" width="9" style="86"/>
    <col min="7" max="7" width="8.44140625" style="86" customWidth="1"/>
    <col min="8" max="8" width="16.44140625" style="86" customWidth="1"/>
    <col min="9" max="10" width="9" style="86"/>
    <col min="11" max="11" width="17.21875" style="86" customWidth="1"/>
    <col min="12" max="13" width="9" style="86" hidden="1" customWidth="1"/>
    <col min="14" max="14" width="10.109375" style="86" hidden="1" customWidth="1"/>
    <col min="15" max="15" width="9" style="86" hidden="1" customWidth="1"/>
    <col min="16" max="16" width="20.33203125" style="86" hidden="1" customWidth="1"/>
    <col min="17" max="19" width="9" style="86" hidden="1" customWidth="1"/>
    <col min="20" max="20" width="9.77734375" style="86" hidden="1" customWidth="1"/>
    <col min="21" max="21" width="18.44140625" style="86" hidden="1" customWidth="1"/>
    <col min="22" max="22" width="13.88671875" style="91" hidden="1" customWidth="1"/>
    <col min="23" max="23" width="12" style="91" hidden="1" customWidth="1"/>
    <col min="24" max="24" width="11.44140625" style="91" hidden="1" customWidth="1"/>
    <col min="25" max="25" width="18.21875" style="91" hidden="1" customWidth="1"/>
    <col min="26" max="26" width="22.77734375" style="91" hidden="1" customWidth="1"/>
    <col min="27" max="27" width="4.109375" style="91" hidden="1" customWidth="1"/>
    <col min="28" max="28" width="9.44140625" style="91" hidden="1" customWidth="1"/>
    <col min="29" max="29" width="11.6640625" style="91" hidden="1" customWidth="1"/>
    <col min="30" max="30" width="18.21875" style="91" hidden="1" customWidth="1"/>
    <col min="31" max="36" width="4.109375" style="91" hidden="1" customWidth="1"/>
    <col min="37" max="37" width="9" style="86" hidden="1" customWidth="1"/>
    <col min="38" max="38" width="13.88671875" hidden="1" customWidth="1"/>
    <col min="39" max="39" width="60" hidden="1" customWidth="1"/>
    <col min="40" max="40" width="13.88671875" hidden="1" customWidth="1"/>
    <col min="41" max="41" width="58.21875" hidden="1" customWidth="1"/>
    <col min="42" max="42" width="13.88671875" hidden="1" customWidth="1"/>
    <col min="43" max="43" width="58.21875" hidden="1" customWidth="1"/>
    <col min="44" max="44" width="13.88671875" hidden="1" customWidth="1"/>
    <col min="45" max="45" width="70" hidden="1" customWidth="1"/>
    <col min="46" max="46" width="13.77734375" style="86" hidden="1" customWidth="1"/>
    <col min="47" max="47" width="59.33203125" style="86" hidden="1" customWidth="1"/>
    <col min="48" max="58" width="9" style="86" hidden="1" customWidth="1"/>
    <col min="59" max="59" width="15.88671875" style="86" hidden="1" customWidth="1"/>
    <col min="60" max="61" width="9" style="86" hidden="1" customWidth="1"/>
    <col min="62" max="63" width="9" style="86" customWidth="1"/>
    <col min="64" max="16384" width="9" style="86"/>
  </cols>
  <sheetData>
    <row r="1" spans="1:58" x14ac:dyDescent="0.3">
      <c r="A1" s="120"/>
      <c r="B1" s="489" t="s">
        <v>72</v>
      </c>
      <c r="C1" s="489"/>
      <c r="D1" s="489"/>
      <c r="E1" s="489"/>
      <c r="F1" s="489"/>
      <c r="G1" s="489"/>
      <c r="H1" s="489"/>
      <c r="I1" s="489"/>
      <c r="J1" s="489"/>
      <c r="K1" s="489"/>
      <c r="L1" s="120"/>
      <c r="V1" s="412" t="s">
        <v>443</v>
      </c>
      <c r="W1" s="378"/>
      <c r="X1" s="378"/>
      <c r="Y1" s="378"/>
      <c r="Z1" s="378" t="s">
        <v>251</v>
      </c>
      <c r="AA1" s="378"/>
      <c r="AB1" s="378"/>
      <c r="AC1" s="378"/>
      <c r="AD1" s="378"/>
      <c r="AE1" s="378"/>
      <c r="AF1" s="381" t="s">
        <v>252</v>
      </c>
      <c r="AG1" s="381"/>
      <c r="AH1" s="381" t="s">
        <v>271</v>
      </c>
      <c r="AI1" s="378"/>
      <c r="AJ1" s="379"/>
      <c r="AL1" t="s">
        <v>255</v>
      </c>
      <c r="AM1" t="s">
        <v>216</v>
      </c>
      <c r="AN1" t="s">
        <v>256</v>
      </c>
      <c r="AO1" t="s">
        <v>220</v>
      </c>
      <c r="AP1" t="s">
        <v>257</v>
      </c>
      <c r="AQ1" t="s">
        <v>223</v>
      </c>
      <c r="AR1" t="s">
        <v>258</v>
      </c>
      <c r="AS1" t="s">
        <v>242</v>
      </c>
      <c r="AT1" t="s">
        <v>334</v>
      </c>
      <c r="AU1" t="s">
        <v>328</v>
      </c>
      <c r="AV1" t="s">
        <v>334</v>
      </c>
      <c r="AW1" t="s">
        <v>329</v>
      </c>
      <c r="AX1" t="s">
        <v>335</v>
      </c>
      <c r="AY1" t="s">
        <v>330</v>
      </c>
      <c r="AZ1" t="s">
        <v>336</v>
      </c>
      <c r="BA1" t="s">
        <v>331</v>
      </c>
      <c r="BB1" t="s">
        <v>337</v>
      </c>
      <c r="BC1" t="s">
        <v>332</v>
      </c>
      <c r="BD1" t="s">
        <v>338</v>
      </c>
      <c r="BE1" t="s">
        <v>333</v>
      </c>
      <c r="BF1" t="s">
        <v>339</v>
      </c>
    </row>
    <row r="2" spans="1:58" ht="15.6" thickBot="1" x14ac:dyDescent="0.35">
      <c r="A2" s="120"/>
      <c r="B2" s="120"/>
      <c r="C2" s="120"/>
      <c r="D2" s="120"/>
      <c r="E2" s="120"/>
      <c r="F2" s="120" t="s">
        <v>247</v>
      </c>
      <c r="G2" s="120"/>
      <c r="H2" s="120"/>
      <c r="I2" s="606" t="s">
        <v>521</v>
      </c>
      <c r="J2" s="606"/>
      <c r="K2" s="606"/>
      <c r="L2" s="120"/>
      <c r="N2" s="86">
        <f ca="1">COUNTIF($I:$I,"入力内容を確認してください")</f>
        <v>9</v>
      </c>
      <c r="V2" s="380"/>
      <c r="W2" s="381"/>
      <c r="X2" s="381" t="s">
        <v>108</v>
      </c>
      <c r="Y2" s="381"/>
      <c r="Z2" s="382">
        <v>1.2</v>
      </c>
      <c r="AA2" s="381"/>
      <c r="AB2" s="381"/>
      <c r="AC2" s="381" t="s">
        <v>46</v>
      </c>
      <c r="AD2" s="381"/>
      <c r="AE2" s="381"/>
      <c r="AF2" s="381">
        <v>30</v>
      </c>
      <c r="AG2" s="381"/>
      <c r="AH2" s="381">
        <v>30</v>
      </c>
      <c r="AI2" s="381"/>
      <c r="AJ2" s="383">
        <f>AF2-AH2</f>
        <v>0</v>
      </c>
      <c r="AL2" s="91" t="s">
        <v>67</v>
      </c>
      <c r="AM2" s="91" t="s">
        <v>68</v>
      </c>
      <c r="AN2" s="91" t="s">
        <v>67</v>
      </c>
      <c r="AO2" s="91" t="s">
        <v>68</v>
      </c>
      <c r="AP2" s="91" t="s">
        <v>67</v>
      </c>
      <c r="AQ2" s="91" t="s">
        <v>68</v>
      </c>
      <c r="AR2" s="91" t="s">
        <v>67</v>
      </c>
      <c r="AS2" s="91" t="s">
        <v>68</v>
      </c>
      <c r="AT2" s="91" t="s">
        <v>67</v>
      </c>
      <c r="AU2" s="91" t="s">
        <v>68</v>
      </c>
    </row>
    <row r="3" spans="1:58" ht="15.6" thickBot="1" x14ac:dyDescent="0.35">
      <c r="A3" s="120"/>
      <c r="B3" s="121" t="s">
        <v>130</v>
      </c>
      <c r="C3" s="122"/>
      <c r="D3" s="122"/>
      <c r="E3" s="122"/>
      <c r="F3" s="122"/>
      <c r="G3" s="122"/>
      <c r="H3" s="122"/>
      <c r="I3" s="122"/>
      <c r="J3" s="122"/>
      <c r="K3" s="123"/>
      <c r="L3" s="120"/>
      <c r="V3" s="380" t="s">
        <v>298</v>
      </c>
      <c r="W3" s="381" t="s">
        <v>253</v>
      </c>
      <c r="X3" s="381" t="s">
        <v>268</v>
      </c>
      <c r="Y3" s="381" t="s">
        <v>269</v>
      </c>
      <c r="Z3" s="381" t="s">
        <v>433</v>
      </c>
      <c r="AA3" s="381"/>
      <c r="AB3" s="381" t="s">
        <v>253</v>
      </c>
      <c r="AC3" s="381" t="s">
        <v>268</v>
      </c>
      <c r="AD3" s="381" t="s">
        <v>270</v>
      </c>
      <c r="AE3" s="381" t="s">
        <v>438</v>
      </c>
      <c r="AF3" s="381"/>
      <c r="AG3" s="381"/>
      <c r="AH3" s="381"/>
      <c r="AI3" s="381"/>
      <c r="AJ3" s="383"/>
      <c r="AL3" s="91"/>
      <c r="AM3" s="91" t="s">
        <v>70</v>
      </c>
      <c r="AN3" s="91"/>
      <c r="AO3" s="91" t="s">
        <v>70</v>
      </c>
      <c r="AP3" s="91"/>
      <c r="AQ3" s="91" t="s">
        <v>70</v>
      </c>
      <c r="AR3" s="91"/>
      <c r="AS3" s="91" t="s">
        <v>70</v>
      </c>
      <c r="AT3" s="91"/>
      <c r="AU3" s="91" t="s">
        <v>70</v>
      </c>
    </row>
    <row r="4" spans="1:58" x14ac:dyDescent="0.3">
      <c r="A4" s="120"/>
      <c r="B4" s="124" t="s">
        <v>174</v>
      </c>
      <c r="C4" s="125"/>
      <c r="D4" s="125"/>
      <c r="E4" s="125"/>
      <c r="F4" s="125"/>
      <c r="G4" s="125"/>
      <c r="H4" s="126"/>
      <c r="I4" s="125" t="s">
        <v>172</v>
      </c>
      <c r="J4" s="125"/>
      <c r="K4" s="127"/>
      <c r="L4" s="120"/>
      <c r="V4" s="380"/>
      <c r="W4" s="381" t="s">
        <v>253</v>
      </c>
      <c r="X4" s="381" t="s">
        <v>167</v>
      </c>
      <c r="Y4" s="381" t="s">
        <v>431</v>
      </c>
      <c r="Z4" s="381" t="s">
        <v>434</v>
      </c>
      <c r="AA4" s="381"/>
      <c r="AB4" s="381" t="s">
        <v>253</v>
      </c>
      <c r="AC4" s="381" t="s">
        <v>167</v>
      </c>
      <c r="AD4" s="381" t="s">
        <v>436</v>
      </c>
      <c r="AE4" s="381" t="s">
        <v>439</v>
      </c>
      <c r="AF4" s="381"/>
      <c r="AG4" s="381"/>
      <c r="AH4" s="381"/>
      <c r="AI4" s="381"/>
      <c r="AJ4" s="383"/>
      <c r="AL4" s="91"/>
      <c r="AM4" s="91" t="s">
        <v>221</v>
      </c>
      <c r="AN4" s="91"/>
      <c r="AO4" s="91" t="s">
        <v>221</v>
      </c>
      <c r="AP4" s="91"/>
      <c r="AQ4" s="91" t="s">
        <v>69</v>
      </c>
      <c r="AR4" s="91"/>
      <c r="AS4" s="91" t="s">
        <v>69</v>
      </c>
      <c r="AT4" s="91"/>
      <c r="AU4" s="91" t="s">
        <v>69</v>
      </c>
    </row>
    <row r="5" spans="1:58" x14ac:dyDescent="0.3">
      <c r="A5" s="120"/>
      <c r="B5" s="128" t="s">
        <v>290</v>
      </c>
      <c r="C5" s="103"/>
      <c r="D5" s="103"/>
      <c r="E5" s="103"/>
      <c r="F5" s="103"/>
      <c r="G5" s="103"/>
      <c r="H5" s="129"/>
      <c r="I5" s="103" t="s">
        <v>173</v>
      </c>
      <c r="J5" s="103"/>
      <c r="K5" s="130"/>
      <c r="L5" s="120"/>
      <c r="M5" s="86" t="s">
        <v>441</v>
      </c>
      <c r="V5" s="380"/>
      <c r="W5" s="381" t="s">
        <v>253</v>
      </c>
      <c r="X5" s="381" t="s">
        <v>118</v>
      </c>
      <c r="Y5" s="381" t="s">
        <v>432</v>
      </c>
      <c r="Z5" s="381" t="s">
        <v>435</v>
      </c>
      <c r="AA5" s="381"/>
      <c r="AB5" s="381" t="s">
        <v>253</v>
      </c>
      <c r="AC5" s="381" t="s">
        <v>118</v>
      </c>
      <c r="AD5" s="381" t="s">
        <v>437</v>
      </c>
      <c r="AE5" s="381" t="s">
        <v>440</v>
      </c>
      <c r="AF5" s="381"/>
      <c r="AG5" s="381"/>
      <c r="AH5" s="381"/>
      <c r="AI5" s="381"/>
      <c r="AJ5" s="383"/>
      <c r="AL5" s="91" t="s">
        <v>83</v>
      </c>
      <c r="AM5" s="91" t="s">
        <v>85</v>
      </c>
      <c r="AN5" s="91" t="s">
        <v>83</v>
      </c>
      <c r="AO5" s="91" t="s">
        <v>103</v>
      </c>
      <c r="AP5" s="91" t="s">
        <v>83</v>
      </c>
      <c r="AQ5" s="91" t="s">
        <v>103</v>
      </c>
      <c r="AR5" s="91" t="s">
        <v>83</v>
      </c>
      <c r="AS5" s="91" t="s">
        <v>103</v>
      </c>
      <c r="AT5" s="91" t="s">
        <v>83</v>
      </c>
      <c r="AU5" s="91" t="s">
        <v>103</v>
      </c>
    </row>
    <row r="6" spans="1:58" ht="15.6" thickBot="1" x14ac:dyDescent="0.35">
      <c r="A6" s="120"/>
      <c r="B6" s="131" t="s">
        <v>248</v>
      </c>
      <c r="C6" s="132"/>
      <c r="D6" s="132"/>
      <c r="E6" s="132"/>
      <c r="F6" s="132"/>
      <c r="G6" s="133" t="s">
        <v>318</v>
      </c>
      <c r="H6" s="134"/>
      <c r="I6" s="132"/>
      <c r="J6" s="132"/>
      <c r="K6" s="135"/>
      <c r="L6" s="120"/>
      <c r="M6" s="86" t="s">
        <v>451</v>
      </c>
      <c r="V6" s="380"/>
      <c r="W6" s="381" t="s">
        <v>253</v>
      </c>
      <c r="X6" s="381"/>
      <c r="Y6" s="381"/>
      <c r="Z6" s="381"/>
      <c r="AA6" s="381"/>
      <c r="AB6" s="381" t="s">
        <v>253</v>
      </c>
      <c r="AC6" s="381"/>
      <c r="AD6" s="381"/>
      <c r="AE6" s="381"/>
      <c r="AF6" s="381"/>
      <c r="AG6" s="381"/>
      <c r="AH6" s="381"/>
      <c r="AI6" s="381"/>
      <c r="AJ6" s="383"/>
      <c r="AL6" s="91"/>
      <c r="AM6" s="91" t="s">
        <v>425</v>
      </c>
      <c r="AN6" s="91"/>
      <c r="AO6" s="91" t="s">
        <v>104</v>
      </c>
      <c r="AP6" s="91"/>
      <c r="AQ6" s="91" t="s">
        <v>104</v>
      </c>
      <c r="AR6" s="91"/>
      <c r="AS6" s="91" t="s">
        <v>104</v>
      </c>
      <c r="AT6" s="91"/>
      <c r="AU6" s="91" t="s">
        <v>104</v>
      </c>
    </row>
    <row r="7" spans="1:58" ht="15.6" thickBot="1" x14ac:dyDescent="0.35">
      <c r="A7" s="120"/>
      <c r="B7" s="120"/>
      <c r="C7" s="120"/>
      <c r="D7" s="120" t="s">
        <v>346</v>
      </c>
      <c r="E7" s="120"/>
      <c r="F7" s="120"/>
      <c r="G7" s="120"/>
      <c r="H7" s="120"/>
      <c r="I7" s="120"/>
      <c r="J7" s="120"/>
      <c r="K7" s="120"/>
      <c r="L7" s="120"/>
      <c r="N7" s="86" t="s">
        <v>456</v>
      </c>
      <c r="O7" s="86" t="s">
        <v>457</v>
      </c>
      <c r="V7" s="380"/>
      <c r="W7" s="381" t="s">
        <v>254</v>
      </c>
      <c r="X7" s="381" t="s">
        <v>216</v>
      </c>
      <c r="Y7" s="381"/>
      <c r="Z7" s="381"/>
      <c r="AA7" s="381"/>
      <c r="AB7" s="381"/>
      <c r="AC7" s="381"/>
      <c r="AD7" s="381"/>
      <c r="AE7" s="381"/>
      <c r="AF7" s="381"/>
      <c r="AG7" s="381"/>
      <c r="AH7" s="381"/>
      <c r="AI7" s="381"/>
      <c r="AJ7" s="383"/>
      <c r="AL7" s="91"/>
      <c r="AM7" s="91" t="s">
        <v>426</v>
      </c>
      <c r="AN7" s="91"/>
      <c r="AO7" s="91" t="s">
        <v>222</v>
      </c>
      <c r="AP7" s="91"/>
      <c r="AQ7" s="91" t="s">
        <v>105</v>
      </c>
      <c r="AR7" s="91"/>
      <c r="AS7" s="91" t="s">
        <v>105</v>
      </c>
      <c r="AT7" s="91"/>
      <c r="AU7" s="91" t="s">
        <v>105</v>
      </c>
    </row>
    <row r="8" spans="1:58" ht="15.6" thickBot="1" x14ac:dyDescent="0.35">
      <c r="A8" s="120">
        <v>1</v>
      </c>
      <c r="B8" s="121" t="s">
        <v>131</v>
      </c>
      <c r="C8" s="122"/>
      <c r="D8" s="122"/>
      <c r="E8" s="122"/>
      <c r="F8" s="122"/>
      <c r="G8" s="122"/>
      <c r="H8" s="122"/>
      <c r="I8" s="460" t="str">
        <f>IF(COUNTA(D9:D13)=5,"入力完了","入力内容を確認してください")</f>
        <v>入力内容を確認してください</v>
      </c>
      <c r="J8" s="461"/>
      <c r="K8" s="462"/>
      <c r="L8" s="120"/>
      <c r="N8" s="86" t="s">
        <v>462</v>
      </c>
      <c r="O8" s="86" t="s">
        <v>458</v>
      </c>
      <c r="V8" s="380"/>
      <c r="W8" s="381"/>
      <c r="X8" s="381" t="str">
        <f>VLOOKUP($X7,名前2!$A$5:$B$8,2,0)</f>
        <v>車種区分①</v>
      </c>
      <c r="Y8" s="381"/>
      <c r="Z8" s="381"/>
      <c r="AA8" s="381"/>
      <c r="AB8" s="381"/>
      <c r="AC8" s="381"/>
      <c r="AD8" s="381"/>
      <c r="AE8" s="381"/>
      <c r="AF8" s="381"/>
      <c r="AG8" s="381"/>
      <c r="AH8" s="381"/>
      <c r="AI8" s="381"/>
      <c r="AJ8" s="383"/>
      <c r="AL8" s="91"/>
      <c r="AM8" s="91" t="s">
        <v>427</v>
      </c>
      <c r="AN8" s="91" t="s">
        <v>84</v>
      </c>
      <c r="AO8" s="91" t="s">
        <v>85</v>
      </c>
      <c r="AP8" s="91" t="s">
        <v>84</v>
      </c>
      <c r="AQ8" s="91" t="s">
        <v>85</v>
      </c>
      <c r="AR8" s="91" t="s">
        <v>229</v>
      </c>
      <c r="AS8" s="91" t="s">
        <v>85</v>
      </c>
      <c r="AT8" s="91" t="s">
        <v>229</v>
      </c>
      <c r="AU8" s="91" t="s">
        <v>85</v>
      </c>
    </row>
    <row r="9" spans="1:58" ht="16.5" customHeight="1" thickBot="1" x14ac:dyDescent="0.35">
      <c r="A9" s="120"/>
      <c r="B9" s="478" t="s">
        <v>168</v>
      </c>
      <c r="C9" s="479"/>
      <c r="D9" s="469"/>
      <c r="E9" s="470"/>
      <c r="F9" s="470"/>
      <c r="G9" s="470"/>
      <c r="H9" s="470"/>
      <c r="I9" s="470"/>
      <c r="J9" s="470"/>
      <c r="K9" s="471"/>
      <c r="L9" s="120"/>
      <c r="N9" s="98" t="s">
        <v>456</v>
      </c>
      <c r="O9" s="86" t="s">
        <v>459</v>
      </c>
      <c r="V9" s="380"/>
      <c r="W9" s="381"/>
      <c r="X9" s="381"/>
      <c r="Y9" s="381"/>
      <c r="Z9" s="381"/>
      <c r="AA9" s="381"/>
      <c r="AB9" s="381"/>
      <c r="AC9" s="381"/>
      <c r="AD9" s="381"/>
      <c r="AE9" s="381"/>
      <c r="AF9" s="381"/>
      <c r="AG9" s="381"/>
      <c r="AH9" s="381"/>
      <c r="AI9" s="381"/>
      <c r="AJ9" s="383"/>
      <c r="AL9" s="91"/>
      <c r="AM9" s="91" t="s">
        <v>428</v>
      </c>
      <c r="AN9" s="91"/>
      <c r="AO9" s="91" t="s">
        <v>95</v>
      </c>
      <c r="AP9" s="91"/>
      <c r="AQ9" s="91" t="s">
        <v>95</v>
      </c>
      <c r="AR9" s="91"/>
      <c r="AS9" s="91" t="s">
        <v>225</v>
      </c>
      <c r="AT9" s="91"/>
      <c r="AU9" s="91" t="s">
        <v>225</v>
      </c>
    </row>
    <row r="10" spans="1:58" ht="16.5" customHeight="1" x14ac:dyDescent="0.3">
      <c r="A10" s="120"/>
      <c r="B10" s="486" t="s">
        <v>71</v>
      </c>
      <c r="C10" s="487"/>
      <c r="D10" s="495"/>
      <c r="E10" s="496"/>
      <c r="F10" s="496"/>
      <c r="G10" s="496"/>
      <c r="H10" s="496"/>
      <c r="I10" s="496"/>
      <c r="J10" s="496"/>
      <c r="K10" s="497"/>
      <c r="L10" s="120"/>
      <c r="O10" s="86" t="s">
        <v>460</v>
      </c>
      <c r="V10" s="380"/>
      <c r="W10" s="381"/>
      <c r="X10" s="381"/>
      <c r="Y10" s="381"/>
      <c r="Z10" s="381"/>
      <c r="AA10" s="381"/>
      <c r="AB10" s="381"/>
      <c r="AC10" s="381"/>
      <c r="AD10" s="381"/>
      <c r="AE10" s="381"/>
      <c r="AF10" s="381"/>
      <c r="AG10" s="381"/>
      <c r="AH10" s="381"/>
      <c r="AI10" s="381"/>
      <c r="AJ10" s="383"/>
      <c r="AL10" s="91"/>
      <c r="AM10" s="91" t="s">
        <v>105</v>
      </c>
      <c r="AN10" s="91"/>
      <c r="AO10" s="91" t="s">
        <v>96</v>
      </c>
      <c r="AP10" s="91"/>
      <c r="AQ10" s="91" t="s">
        <v>96</v>
      </c>
      <c r="AR10" s="91"/>
      <c r="AS10" s="91" t="s">
        <v>224</v>
      </c>
      <c r="AT10" s="91"/>
      <c r="AU10" s="91" t="s">
        <v>224</v>
      </c>
    </row>
    <row r="11" spans="1:58" ht="16.5" customHeight="1" x14ac:dyDescent="0.3">
      <c r="A11" s="120"/>
      <c r="B11" s="493" t="s">
        <v>245</v>
      </c>
      <c r="C11" s="494"/>
      <c r="D11" s="498"/>
      <c r="E11" s="499"/>
      <c r="F11" s="499"/>
      <c r="G11" s="499"/>
      <c r="H11" s="499"/>
      <c r="I11" s="499"/>
      <c r="J11" s="499"/>
      <c r="K11" s="500"/>
      <c r="L11" s="120"/>
      <c r="M11" s="86" t="s">
        <v>452</v>
      </c>
      <c r="V11" s="380"/>
      <c r="W11" s="381"/>
      <c r="X11" s="381"/>
      <c r="Y11" s="381"/>
      <c r="Z11" s="381" t="s">
        <v>251</v>
      </c>
      <c r="AA11" s="381"/>
      <c r="AB11" s="381"/>
      <c r="AC11" s="381"/>
      <c r="AD11" s="381"/>
      <c r="AE11" s="381"/>
      <c r="AF11" s="381" t="s">
        <v>252</v>
      </c>
      <c r="AG11" s="381"/>
      <c r="AH11" s="381" t="s">
        <v>271</v>
      </c>
      <c r="AI11" s="381"/>
      <c r="AJ11" s="383"/>
      <c r="AL11" s="91" t="s">
        <v>84</v>
      </c>
      <c r="AM11" s="91" t="s">
        <v>85</v>
      </c>
      <c r="AN11" s="91"/>
      <c r="AO11" s="91" t="s">
        <v>97</v>
      </c>
      <c r="AP11" s="91"/>
      <c r="AQ11" s="91" t="s">
        <v>97</v>
      </c>
      <c r="AR11" s="91"/>
      <c r="AS11" s="91" t="s">
        <v>226</v>
      </c>
      <c r="AT11" s="91"/>
      <c r="AU11" s="91" t="s">
        <v>226</v>
      </c>
    </row>
    <row r="12" spans="1:58" ht="16.5" customHeight="1" thickBot="1" x14ac:dyDescent="0.35">
      <c r="A12" s="120"/>
      <c r="B12" s="491" t="s">
        <v>343</v>
      </c>
      <c r="C12" s="492"/>
      <c r="D12" s="501"/>
      <c r="E12" s="502"/>
      <c r="F12" s="502"/>
      <c r="G12" s="502"/>
      <c r="H12" s="502"/>
      <c r="I12" s="502"/>
      <c r="J12" s="502"/>
      <c r="K12" s="503"/>
      <c r="L12" s="120"/>
      <c r="O12" s="110" t="s">
        <v>444</v>
      </c>
      <c r="P12" s="86" t="s">
        <v>445</v>
      </c>
      <c r="V12" s="380"/>
      <c r="W12" s="381"/>
      <c r="X12" s="381" t="s">
        <v>108</v>
      </c>
      <c r="Y12" s="381"/>
      <c r="Z12" s="384">
        <v>0.9</v>
      </c>
      <c r="AA12" s="381"/>
      <c r="AB12" s="381"/>
      <c r="AC12" s="381" t="s">
        <v>46</v>
      </c>
      <c r="AD12" s="381"/>
      <c r="AE12" s="381"/>
      <c r="AF12" s="381">
        <v>30</v>
      </c>
      <c r="AG12" s="381"/>
      <c r="AH12" s="381">
        <v>30</v>
      </c>
      <c r="AI12" s="381"/>
      <c r="AJ12" s="383">
        <f>AF12-AH12</f>
        <v>0</v>
      </c>
      <c r="AL12" s="91"/>
      <c r="AM12" s="91" t="s">
        <v>95</v>
      </c>
      <c r="AN12" s="91"/>
      <c r="AO12" s="91" t="s">
        <v>527</v>
      </c>
      <c r="AP12" s="91"/>
      <c r="AQ12" s="91" t="s">
        <v>527</v>
      </c>
      <c r="AR12" s="91"/>
      <c r="AS12" s="91" t="s">
        <v>227</v>
      </c>
      <c r="AT12" s="91"/>
      <c r="AU12" s="91" t="s">
        <v>227</v>
      </c>
    </row>
    <row r="13" spans="1:58" ht="16.5" customHeight="1" thickBot="1" x14ac:dyDescent="0.35">
      <c r="A13" s="120"/>
      <c r="B13" s="484" t="s">
        <v>59</v>
      </c>
      <c r="C13" s="485"/>
      <c r="D13" s="507"/>
      <c r="E13" s="508"/>
      <c r="F13" s="508"/>
      <c r="G13" s="508"/>
      <c r="H13" s="508"/>
      <c r="I13" s="508"/>
      <c r="J13" s="508"/>
      <c r="K13" s="509"/>
      <c r="L13" s="120"/>
      <c r="N13" s="86" t="s">
        <v>455</v>
      </c>
      <c r="O13" s="86" t="s">
        <v>447</v>
      </c>
      <c r="V13" s="380" t="s">
        <v>295</v>
      </c>
      <c r="W13" s="381" t="s">
        <v>253</v>
      </c>
      <c r="X13" s="381" t="s">
        <v>268</v>
      </c>
      <c r="Y13" s="381" t="s">
        <v>277</v>
      </c>
      <c r="Z13" s="381" t="s">
        <v>399</v>
      </c>
      <c r="AA13" s="381"/>
      <c r="AB13" s="381" t="s">
        <v>253</v>
      </c>
      <c r="AC13" s="381" t="s">
        <v>268</v>
      </c>
      <c r="AD13" s="381" t="s">
        <v>272</v>
      </c>
      <c r="AE13" s="381" t="s">
        <v>402</v>
      </c>
      <c r="AF13" s="381"/>
      <c r="AG13" s="381"/>
      <c r="AH13" s="381"/>
      <c r="AI13" s="381"/>
      <c r="AJ13" s="383"/>
      <c r="AL13" s="91"/>
      <c r="AM13" s="91" t="s">
        <v>96</v>
      </c>
      <c r="AN13" s="91"/>
      <c r="AO13" s="91" t="s">
        <v>528</v>
      </c>
      <c r="AP13" s="91"/>
      <c r="AQ13" s="91" t="s">
        <v>528</v>
      </c>
      <c r="AR13" s="91"/>
      <c r="AS13" s="91" t="s">
        <v>228</v>
      </c>
      <c r="AT13" s="91"/>
      <c r="AU13" s="91" t="s">
        <v>228</v>
      </c>
    </row>
    <row r="14" spans="1:58" ht="16.5" customHeight="1" x14ac:dyDescent="0.3">
      <c r="A14" s="120"/>
      <c r="B14" s="480" t="s">
        <v>163</v>
      </c>
      <c r="C14" s="481"/>
      <c r="D14" s="504"/>
      <c r="E14" s="505"/>
      <c r="F14" s="505"/>
      <c r="G14" s="505"/>
      <c r="H14" s="505"/>
      <c r="I14" s="505"/>
      <c r="J14" s="505"/>
      <c r="K14" s="506"/>
      <c r="L14" s="120"/>
      <c r="M14" s="98"/>
      <c r="N14" s="98" t="s">
        <v>442</v>
      </c>
      <c r="O14" s="86" t="s">
        <v>448</v>
      </c>
      <c r="V14" s="380"/>
      <c r="W14" s="381" t="s">
        <v>253</v>
      </c>
      <c r="X14" s="381" t="s">
        <v>167</v>
      </c>
      <c r="Y14" s="381" t="s">
        <v>405</v>
      </c>
      <c r="Z14" s="381" t="s">
        <v>400</v>
      </c>
      <c r="AA14" s="381"/>
      <c r="AB14" s="381" t="s">
        <v>253</v>
      </c>
      <c r="AC14" s="381" t="s">
        <v>167</v>
      </c>
      <c r="AD14" s="381" t="s">
        <v>407</v>
      </c>
      <c r="AE14" s="381" t="s">
        <v>403</v>
      </c>
      <c r="AF14" s="381"/>
      <c r="AG14" s="381"/>
      <c r="AH14" s="381"/>
      <c r="AI14" s="381"/>
      <c r="AJ14" s="383"/>
      <c r="AL14" s="91"/>
      <c r="AM14" s="91" t="s">
        <v>97</v>
      </c>
      <c r="AO14" s="91" t="s">
        <v>531</v>
      </c>
      <c r="AQ14" s="91" t="s">
        <v>531</v>
      </c>
      <c r="AR14" s="91" t="s">
        <v>230</v>
      </c>
      <c r="AS14" s="91" t="s">
        <v>85</v>
      </c>
      <c r="AT14" s="91" t="s">
        <v>230</v>
      </c>
      <c r="AU14" s="91" t="s">
        <v>85</v>
      </c>
    </row>
    <row r="15" spans="1:58" ht="16.5" customHeight="1" thickBot="1" x14ac:dyDescent="0.35">
      <c r="A15" s="120"/>
      <c r="B15" s="482" t="s">
        <v>60</v>
      </c>
      <c r="C15" s="483"/>
      <c r="D15" s="510"/>
      <c r="E15" s="511"/>
      <c r="F15" s="511"/>
      <c r="G15" s="511"/>
      <c r="H15" s="511"/>
      <c r="I15" s="511"/>
      <c r="J15" s="511"/>
      <c r="K15" s="512"/>
      <c r="L15" s="120"/>
      <c r="N15" s="98" t="s">
        <v>443</v>
      </c>
      <c r="O15" s="86" t="s">
        <v>449</v>
      </c>
      <c r="V15" s="380"/>
      <c r="W15" s="381" t="s">
        <v>253</v>
      </c>
      <c r="X15" s="381" t="s">
        <v>118</v>
      </c>
      <c r="Y15" s="381" t="s">
        <v>406</v>
      </c>
      <c r="Z15" s="381" t="s">
        <v>401</v>
      </c>
      <c r="AA15" s="381"/>
      <c r="AB15" s="381" t="s">
        <v>253</v>
      </c>
      <c r="AC15" s="381" t="s">
        <v>118</v>
      </c>
      <c r="AD15" s="381" t="s">
        <v>408</v>
      </c>
      <c r="AE15" s="381" t="s">
        <v>404</v>
      </c>
      <c r="AF15" s="381"/>
      <c r="AG15" s="381"/>
      <c r="AH15" s="381"/>
      <c r="AI15" s="381"/>
      <c r="AJ15" s="383"/>
      <c r="AL15" s="91"/>
      <c r="AM15" s="91" t="s">
        <v>527</v>
      </c>
      <c r="AO15" s="91" t="s">
        <v>530</v>
      </c>
      <c r="AQ15" s="91" t="s">
        <v>530</v>
      </c>
      <c r="AR15" s="91"/>
      <c r="AS15" s="91" t="s">
        <v>231</v>
      </c>
      <c r="AT15" s="91"/>
      <c r="AU15" s="91" t="s">
        <v>231</v>
      </c>
    </row>
    <row r="16" spans="1:58" ht="15.6" thickBot="1" x14ac:dyDescent="0.35">
      <c r="A16" s="120"/>
      <c r="B16" s="120"/>
      <c r="C16" s="120"/>
      <c r="D16" s="120"/>
      <c r="E16" s="120"/>
      <c r="F16" s="120"/>
      <c r="G16" s="120"/>
      <c r="H16" s="120"/>
      <c r="I16" s="120"/>
      <c r="J16" s="120"/>
      <c r="K16" s="120"/>
      <c r="L16" s="120"/>
      <c r="V16" s="380"/>
      <c r="W16" s="381" t="s">
        <v>253</v>
      </c>
      <c r="X16" s="381"/>
      <c r="Y16" s="381"/>
      <c r="Z16" s="381"/>
      <c r="AA16" s="381"/>
      <c r="AB16" s="381" t="s">
        <v>253</v>
      </c>
      <c r="AC16" s="381"/>
      <c r="AD16" s="381"/>
      <c r="AE16" s="381"/>
      <c r="AF16" s="381"/>
      <c r="AG16" s="381"/>
      <c r="AH16" s="381"/>
      <c r="AI16" s="381"/>
      <c r="AJ16" s="383"/>
      <c r="AL16" s="91"/>
      <c r="AM16" s="91" t="s">
        <v>528</v>
      </c>
      <c r="AO16" s="91" t="s">
        <v>522</v>
      </c>
      <c r="AQ16" s="91" t="s">
        <v>522</v>
      </c>
      <c r="AR16" s="91"/>
      <c r="AS16" s="91" t="s">
        <v>232</v>
      </c>
      <c r="AT16" s="91"/>
      <c r="AU16" s="91" t="s">
        <v>232</v>
      </c>
    </row>
    <row r="17" spans="1:47" ht="15.6" thickBot="1" x14ac:dyDescent="0.35">
      <c r="A17" s="120">
        <v>2</v>
      </c>
      <c r="B17" s="121" t="s">
        <v>133</v>
      </c>
      <c r="C17" s="122"/>
      <c r="D17" s="122"/>
      <c r="E17" s="122"/>
      <c r="F17" s="122"/>
      <c r="G17" s="122"/>
      <c r="H17" s="122"/>
      <c r="I17" s="460" t="str">
        <f>IF($C$19="○",IF(COUNTA(E20)=1,"入力完了","入力内容を確認してください"),IF(COUNTA(C18:C19)=1,"入力完了","入力内容を確認してください"))</f>
        <v>入力内容を確認してください</v>
      </c>
      <c r="J17" s="461"/>
      <c r="K17" s="462"/>
      <c r="L17" s="120"/>
      <c r="M17" s="86" t="s">
        <v>453</v>
      </c>
      <c r="V17" s="380"/>
      <c r="W17" s="381" t="s">
        <v>254</v>
      </c>
      <c r="X17" s="381" t="s">
        <v>220</v>
      </c>
      <c r="Y17" s="381"/>
      <c r="Z17" s="381"/>
      <c r="AA17" s="381"/>
      <c r="AB17" s="381"/>
      <c r="AC17" s="381"/>
      <c r="AD17" s="381"/>
      <c r="AE17" s="381"/>
      <c r="AF17" s="381"/>
      <c r="AG17" s="381"/>
      <c r="AH17" s="381"/>
      <c r="AI17" s="381"/>
      <c r="AJ17" s="383"/>
      <c r="AM17" s="91" t="s">
        <v>531</v>
      </c>
      <c r="AO17" s="91" t="s">
        <v>523</v>
      </c>
      <c r="AQ17" s="91" t="s">
        <v>523</v>
      </c>
      <c r="AR17" s="91"/>
      <c r="AS17" s="91" t="s">
        <v>97</v>
      </c>
      <c r="AT17" s="91"/>
      <c r="AU17" s="91" t="s">
        <v>97</v>
      </c>
    </row>
    <row r="18" spans="1:47" x14ac:dyDescent="0.3">
      <c r="A18" s="120"/>
      <c r="B18" s="136" t="s">
        <v>213</v>
      </c>
      <c r="C18" s="100"/>
      <c r="D18" s="125" t="s">
        <v>64</v>
      </c>
      <c r="E18" s="125"/>
      <c r="F18" s="125"/>
      <c r="G18" s="125"/>
      <c r="H18" s="125"/>
      <c r="I18" s="125"/>
      <c r="J18" s="125"/>
      <c r="K18" s="127"/>
      <c r="L18" s="120"/>
      <c r="O18" s="86" t="s">
        <v>463</v>
      </c>
      <c r="V18" s="380"/>
      <c r="W18" s="381"/>
      <c r="X18" s="381" t="str">
        <f>VLOOKUP($X17,名前2!$A$5:$B$8,2,0)</f>
        <v>車種区分②</v>
      </c>
      <c r="Y18" s="381"/>
      <c r="Z18" s="381"/>
      <c r="AA18" s="381"/>
      <c r="AB18" s="381"/>
      <c r="AC18" s="381"/>
      <c r="AD18" s="381"/>
      <c r="AE18" s="381"/>
      <c r="AF18" s="381"/>
      <c r="AG18" s="381"/>
      <c r="AH18" s="381"/>
      <c r="AI18" s="381"/>
      <c r="AJ18" s="383"/>
      <c r="AM18" s="91" t="s">
        <v>530</v>
      </c>
      <c r="AN18" s="91" t="s">
        <v>86</v>
      </c>
      <c r="AO18" s="91" t="s">
        <v>524</v>
      </c>
      <c r="AP18" s="91" t="s">
        <v>86</v>
      </c>
      <c r="AQ18" s="91" t="s">
        <v>524</v>
      </c>
      <c r="AR18" s="91"/>
      <c r="AS18" s="91" t="s">
        <v>233</v>
      </c>
      <c r="AT18" s="91"/>
      <c r="AU18" s="91" t="s">
        <v>233</v>
      </c>
    </row>
    <row r="19" spans="1:47" ht="15.6" thickBot="1" x14ac:dyDescent="0.35">
      <c r="A19" s="120"/>
      <c r="B19" s="137" t="s">
        <v>214</v>
      </c>
      <c r="C19" s="101"/>
      <c r="D19" s="132" t="s">
        <v>63</v>
      </c>
      <c r="E19" s="133" t="s">
        <v>249</v>
      </c>
      <c r="F19" s="132"/>
      <c r="G19" s="133"/>
      <c r="H19" s="133"/>
      <c r="I19" s="132"/>
      <c r="J19" s="132"/>
      <c r="K19" s="135"/>
      <c r="L19" s="120"/>
      <c r="N19" s="98" t="s">
        <v>442</v>
      </c>
      <c r="O19" s="86" t="s">
        <v>450</v>
      </c>
      <c r="V19" s="380"/>
      <c r="W19" s="381"/>
      <c r="X19" s="381"/>
      <c r="Y19" s="381"/>
      <c r="Z19" s="381" t="s">
        <v>251</v>
      </c>
      <c r="AA19" s="381"/>
      <c r="AB19" s="381"/>
      <c r="AC19" s="381"/>
      <c r="AD19" s="381"/>
      <c r="AE19" s="381"/>
      <c r="AF19" s="381" t="s">
        <v>252</v>
      </c>
      <c r="AG19" s="381"/>
      <c r="AH19" s="381" t="s">
        <v>271</v>
      </c>
      <c r="AI19" s="381"/>
      <c r="AJ19" s="383"/>
      <c r="AM19" s="91" t="s">
        <v>522</v>
      </c>
      <c r="AN19" s="91"/>
      <c r="AO19" s="91" t="s">
        <v>100</v>
      </c>
      <c r="AP19" s="91"/>
      <c r="AQ19" s="91" t="s">
        <v>100</v>
      </c>
      <c r="AR19" s="91"/>
      <c r="AS19" s="91" t="s">
        <v>234</v>
      </c>
      <c r="AT19" s="91"/>
      <c r="AU19" s="91" t="s">
        <v>234</v>
      </c>
    </row>
    <row r="20" spans="1:47" ht="42.75" customHeight="1" thickBot="1" x14ac:dyDescent="0.35">
      <c r="A20" s="120"/>
      <c r="B20" s="513" t="s">
        <v>169</v>
      </c>
      <c r="C20" s="514"/>
      <c r="D20" s="514"/>
      <c r="E20" s="472"/>
      <c r="F20" s="472"/>
      <c r="G20" s="472"/>
      <c r="H20" s="472"/>
      <c r="I20" s="472"/>
      <c r="J20" s="472"/>
      <c r="K20" s="473"/>
      <c r="L20" s="120"/>
      <c r="N20" s="98" t="s">
        <v>443</v>
      </c>
      <c r="O20" s="86" t="s">
        <v>454</v>
      </c>
      <c r="V20" s="380"/>
      <c r="W20" s="381"/>
      <c r="X20" s="381" t="s">
        <v>108</v>
      </c>
      <c r="Y20" s="381"/>
      <c r="Z20" s="382">
        <v>1.3</v>
      </c>
      <c r="AA20" s="381"/>
      <c r="AB20" s="381"/>
      <c r="AC20" s="381" t="s">
        <v>46</v>
      </c>
      <c r="AD20" s="381"/>
      <c r="AE20" s="381"/>
      <c r="AF20" s="381">
        <v>30</v>
      </c>
      <c r="AG20" s="381"/>
      <c r="AH20" s="381">
        <v>30</v>
      </c>
      <c r="AI20" s="381"/>
      <c r="AJ20" s="383">
        <f>AF20-AH20</f>
        <v>0</v>
      </c>
      <c r="AM20" s="91" t="s">
        <v>523</v>
      </c>
      <c r="AN20" s="91"/>
      <c r="AO20" s="91" t="s">
        <v>525</v>
      </c>
      <c r="AP20" s="91"/>
      <c r="AQ20" s="91" t="s">
        <v>525</v>
      </c>
      <c r="AR20" s="91" t="s">
        <v>86</v>
      </c>
      <c r="AS20" s="91" t="s">
        <v>98</v>
      </c>
      <c r="AT20" s="91" t="s">
        <v>86</v>
      </c>
      <c r="AU20" s="91" t="s">
        <v>98</v>
      </c>
    </row>
    <row r="21" spans="1:47" ht="15.6" thickBot="1" x14ac:dyDescent="0.35">
      <c r="A21" s="120"/>
      <c r="B21" s="120"/>
      <c r="C21" s="120"/>
      <c r="D21" s="120"/>
      <c r="E21" s="120"/>
      <c r="F21" s="120"/>
      <c r="G21" s="120"/>
      <c r="H21" s="120"/>
      <c r="I21" s="120"/>
      <c r="J21" s="120"/>
      <c r="K21" s="120"/>
      <c r="L21" s="120"/>
      <c r="P21" s="108" t="str">
        <f>IF(COUNTA(大阪!A10:A15),"○","")</f>
        <v/>
      </c>
      <c r="V21" s="380" t="s">
        <v>153</v>
      </c>
      <c r="W21" s="381" t="s">
        <v>253</v>
      </c>
      <c r="X21" s="381" t="s">
        <v>268</v>
      </c>
      <c r="Y21" s="381" t="s">
        <v>296</v>
      </c>
      <c r="Z21" s="381" t="s">
        <v>273</v>
      </c>
      <c r="AA21" s="381"/>
      <c r="AB21" s="381" t="s">
        <v>253</v>
      </c>
      <c r="AC21" s="381" t="s">
        <v>268</v>
      </c>
      <c r="AD21" s="381" t="s">
        <v>274</v>
      </c>
      <c r="AE21" s="381" t="s">
        <v>275</v>
      </c>
      <c r="AF21" s="381"/>
      <c r="AG21" s="381"/>
      <c r="AH21" s="381"/>
      <c r="AI21" s="381"/>
      <c r="AJ21" s="383"/>
      <c r="AL21" s="91" t="s">
        <v>86</v>
      </c>
      <c r="AM21" s="91" t="s">
        <v>524</v>
      </c>
      <c r="AN21" s="91"/>
      <c r="AO21" s="91" t="s">
        <v>526</v>
      </c>
      <c r="AP21" s="91"/>
      <c r="AQ21" s="91" t="s">
        <v>526</v>
      </c>
      <c r="AR21" s="91"/>
      <c r="AS21" s="91" t="s">
        <v>99</v>
      </c>
      <c r="AT21" s="91"/>
      <c r="AU21" s="91" t="s">
        <v>99</v>
      </c>
    </row>
    <row r="22" spans="1:47" ht="15.6" thickBot="1" x14ac:dyDescent="0.35">
      <c r="A22" s="120">
        <v>3</v>
      </c>
      <c r="B22" s="121" t="s">
        <v>171</v>
      </c>
      <c r="C22" s="122"/>
      <c r="D22" s="122"/>
      <c r="E22" s="122"/>
      <c r="F22" s="122"/>
      <c r="G22" s="122"/>
      <c r="H22" s="122"/>
      <c r="I22" s="460" t="str">
        <f>IF(COUNTA(C23:C24)=1,"入力完了","入力内容を確認してください")</f>
        <v>入力内容を確認してください</v>
      </c>
      <c r="J22" s="461"/>
      <c r="K22" s="462"/>
      <c r="L22" s="120"/>
      <c r="V22" s="380"/>
      <c r="W22" s="381" t="s">
        <v>253</v>
      </c>
      <c r="X22" s="381" t="s">
        <v>167</v>
      </c>
      <c r="Y22" s="381" t="s">
        <v>260</v>
      </c>
      <c r="Z22" s="381" t="s">
        <v>261</v>
      </c>
      <c r="AA22" s="381"/>
      <c r="AB22" s="381" t="s">
        <v>253</v>
      </c>
      <c r="AC22" s="381" t="s">
        <v>167</v>
      </c>
      <c r="AD22" s="381" t="s">
        <v>264</v>
      </c>
      <c r="AE22" s="381" t="s">
        <v>265</v>
      </c>
      <c r="AF22" s="381"/>
      <c r="AG22" s="381"/>
      <c r="AH22" s="381"/>
      <c r="AI22" s="381"/>
      <c r="AJ22" s="383"/>
      <c r="AL22" s="91"/>
      <c r="AM22" s="91" t="s">
        <v>100</v>
      </c>
      <c r="AN22" s="91"/>
      <c r="AO22" s="91" t="s">
        <v>87</v>
      </c>
      <c r="AP22" s="91"/>
      <c r="AQ22" s="91" t="s">
        <v>87</v>
      </c>
      <c r="AR22" s="91"/>
      <c r="AS22" s="91" t="s">
        <v>235</v>
      </c>
      <c r="AT22" s="91"/>
      <c r="AU22" s="91" t="s">
        <v>235</v>
      </c>
    </row>
    <row r="23" spans="1:47" x14ac:dyDescent="0.3">
      <c r="A23" s="120"/>
      <c r="B23" s="136" t="s">
        <v>213</v>
      </c>
      <c r="C23" s="100"/>
      <c r="D23" s="125" t="s">
        <v>74</v>
      </c>
      <c r="E23" s="125"/>
      <c r="F23" s="125"/>
      <c r="G23" s="125"/>
      <c r="H23" s="125"/>
      <c r="I23" s="125"/>
      <c r="J23" s="125"/>
      <c r="K23" s="127"/>
      <c r="L23" s="120"/>
      <c r="M23" s="409" t="s">
        <v>461</v>
      </c>
      <c r="N23" s="410"/>
      <c r="O23" s="410"/>
      <c r="P23" s="410"/>
      <c r="Q23" s="410"/>
      <c r="R23" s="410"/>
      <c r="S23" s="410"/>
      <c r="T23" s="410"/>
      <c r="U23" s="411"/>
      <c r="V23" s="381"/>
      <c r="W23" s="381" t="s">
        <v>253</v>
      </c>
      <c r="X23" s="381" t="s">
        <v>118</v>
      </c>
      <c r="Y23" s="381" t="s">
        <v>262</v>
      </c>
      <c r="Z23" s="381" t="s">
        <v>263</v>
      </c>
      <c r="AA23" s="381"/>
      <c r="AB23" s="381" t="s">
        <v>253</v>
      </c>
      <c r="AC23" s="381" t="s">
        <v>118</v>
      </c>
      <c r="AD23" s="381" t="s">
        <v>266</v>
      </c>
      <c r="AE23" s="381" t="s">
        <v>267</v>
      </c>
      <c r="AF23" s="381"/>
      <c r="AG23" s="381"/>
      <c r="AH23" s="381"/>
      <c r="AI23" s="381"/>
      <c r="AJ23" s="383"/>
      <c r="AL23" s="91"/>
      <c r="AM23" s="91" t="s">
        <v>525</v>
      </c>
      <c r="AN23" s="91"/>
      <c r="AO23" s="91" t="s">
        <v>88</v>
      </c>
      <c r="AP23" s="91"/>
      <c r="AQ23" s="91" t="s">
        <v>88</v>
      </c>
      <c r="AR23" s="91"/>
      <c r="AS23" s="91" t="s">
        <v>236</v>
      </c>
      <c r="AT23" s="91"/>
      <c r="AU23" s="91" t="s">
        <v>236</v>
      </c>
    </row>
    <row r="24" spans="1:47" ht="15.6" thickBot="1" x14ac:dyDescent="0.35">
      <c r="A24" s="120"/>
      <c r="B24" s="137" t="s">
        <v>214</v>
      </c>
      <c r="C24" s="101"/>
      <c r="D24" s="132" t="s">
        <v>75</v>
      </c>
      <c r="E24" s="132"/>
      <c r="F24" s="132"/>
      <c r="G24" s="133"/>
      <c r="H24" s="133"/>
      <c r="I24" s="132"/>
      <c r="J24" s="132"/>
      <c r="K24" s="135"/>
      <c r="L24" s="120"/>
      <c r="M24" s="387"/>
      <c r="N24" s="374"/>
      <c r="O24" s="374"/>
      <c r="P24" s="374" t="s">
        <v>303</v>
      </c>
      <c r="Q24" s="374" t="str">
        <f>IF(C24="○",P24,"")</f>
        <v/>
      </c>
      <c r="R24" s="374"/>
      <c r="S24" s="374"/>
      <c r="T24" s="374"/>
      <c r="U24" s="388"/>
      <c r="V24" s="381"/>
      <c r="W24" s="381" t="s">
        <v>253</v>
      </c>
      <c r="X24" s="381"/>
      <c r="Y24" s="381"/>
      <c r="Z24" s="381"/>
      <c r="AA24" s="381"/>
      <c r="AB24" s="381" t="s">
        <v>253</v>
      </c>
      <c r="AC24" s="381"/>
      <c r="AD24" s="381"/>
      <c r="AE24" s="381"/>
      <c r="AF24" s="381"/>
      <c r="AG24" s="381"/>
      <c r="AH24" s="381"/>
      <c r="AI24" s="381"/>
      <c r="AJ24" s="383"/>
      <c r="AL24" s="91"/>
      <c r="AM24" s="91" t="s">
        <v>526</v>
      </c>
      <c r="AN24" s="91"/>
      <c r="AO24" s="91" t="s">
        <v>89</v>
      </c>
      <c r="AP24" s="91"/>
      <c r="AQ24" s="91" t="s">
        <v>89</v>
      </c>
      <c r="AR24" s="91"/>
      <c r="AS24" s="91" t="s">
        <v>100</v>
      </c>
      <c r="AT24" s="91"/>
      <c r="AU24" s="91" t="s">
        <v>100</v>
      </c>
    </row>
    <row r="25" spans="1:47" ht="15.6" thickBot="1" x14ac:dyDescent="0.35">
      <c r="A25" s="120"/>
      <c r="B25" s="120"/>
      <c r="C25" s="120"/>
      <c r="D25" s="120"/>
      <c r="E25" s="138"/>
      <c r="F25" s="120"/>
      <c r="G25" s="120"/>
      <c r="H25" s="120"/>
      <c r="I25" s="120"/>
      <c r="J25" s="120"/>
      <c r="K25" s="120"/>
      <c r="L25" s="120"/>
      <c r="M25" s="389"/>
      <c r="N25" s="374"/>
      <c r="O25" s="374"/>
      <c r="P25" s="488" t="s">
        <v>108</v>
      </c>
      <c r="Q25" s="488"/>
      <c r="R25" s="488"/>
      <c r="S25" s="488"/>
      <c r="T25" s="375"/>
      <c r="U25" s="390" t="s">
        <v>301</v>
      </c>
      <c r="V25" s="381"/>
      <c r="W25" s="381" t="s">
        <v>254</v>
      </c>
      <c r="X25" s="381" t="s">
        <v>220</v>
      </c>
      <c r="Y25" s="381"/>
      <c r="Z25" s="381"/>
      <c r="AA25" s="381"/>
      <c r="AB25" s="381"/>
      <c r="AC25" s="381"/>
      <c r="AD25" s="381"/>
      <c r="AE25" s="381"/>
      <c r="AF25" s="381"/>
      <c r="AG25" s="381"/>
      <c r="AH25" s="381"/>
      <c r="AI25" s="381"/>
      <c r="AJ25" s="383"/>
      <c r="AL25" s="91"/>
      <c r="AM25" s="91" t="s">
        <v>87</v>
      </c>
      <c r="AN25" s="91"/>
      <c r="AO25" s="91" t="s">
        <v>106</v>
      </c>
      <c r="AP25" s="91"/>
      <c r="AQ25" s="91" t="s">
        <v>106</v>
      </c>
      <c r="AR25" s="91"/>
      <c r="AS25" s="91" t="s">
        <v>102</v>
      </c>
      <c r="AT25" s="91"/>
      <c r="AU25" s="91" t="s">
        <v>102</v>
      </c>
    </row>
    <row r="26" spans="1:47" ht="15.6" thickBot="1" x14ac:dyDescent="0.35">
      <c r="A26" s="120">
        <v>4</v>
      </c>
      <c r="B26" s="121" t="s">
        <v>162</v>
      </c>
      <c r="C26" s="122"/>
      <c r="D26" s="122"/>
      <c r="E26" s="139"/>
      <c r="F26" s="122"/>
      <c r="G26" s="122"/>
      <c r="H26" s="122"/>
      <c r="I26" s="460" t="str">
        <f>IF(COUNTA(C27:C37)=1,"入力完了","入力内容を確認してください")</f>
        <v>入力内容を確認してください</v>
      </c>
      <c r="J26" s="461"/>
      <c r="K26" s="462"/>
      <c r="L26" s="120"/>
      <c r="M26" s="387" t="e">
        <f>INDEX($B$27:$L$37,MATCH("○",$C$27:$C$37,0),1)</f>
        <v>#N/A</v>
      </c>
      <c r="N26" s="20"/>
      <c r="O26" s="20"/>
      <c r="P26" s="376" t="s">
        <v>293</v>
      </c>
      <c r="Q26" s="456" t="s">
        <v>294</v>
      </c>
      <c r="R26" s="456" t="s">
        <v>514</v>
      </c>
      <c r="S26" s="456"/>
      <c r="T26" s="375"/>
      <c r="U26" s="390" t="s">
        <v>302</v>
      </c>
      <c r="V26" s="381"/>
      <c r="W26" s="381"/>
      <c r="X26" s="381" t="str">
        <f>VLOOKUP($X25,名前2!$A$5:$B$8,2,0)</f>
        <v>車種区分②</v>
      </c>
      <c r="Y26" s="381"/>
      <c r="Z26" s="381"/>
      <c r="AA26" s="381"/>
      <c r="AB26" s="381"/>
      <c r="AC26" s="381"/>
      <c r="AD26" s="381"/>
      <c r="AE26" s="381"/>
      <c r="AF26" s="381"/>
      <c r="AG26" s="381"/>
      <c r="AH26" s="381"/>
      <c r="AI26" s="381"/>
      <c r="AJ26" s="383"/>
      <c r="AL26" s="91"/>
      <c r="AM26" s="91" t="s">
        <v>88</v>
      </c>
      <c r="AN26" s="91"/>
      <c r="AO26" s="91" t="s">
        <v>107</v>
      </c>
      <c r="AP26" s="91"/>
      <c r="AQ26" s="91" t="s">
        <v>107</v>
      </c>
      <c r="AR26" s="91"/>
      <c r="AS26" s="91" t="s">
        <v>101</v>
      </c>
      <c r="AT26" s="91"/>
      <c r="AU26" s="91" t="s">
        <v>101</v>
      </c>
    </row>
    <row r="27" spans="1:47" x14ac:dyDescent="0.3">
      <c r="A27" s="120"/>
      <c r="B27" s="140" t="s">
        <v>152</v>
      </c>
      <c r="C27" s="102"/>
      <c r="D27" s="141" t="s">
        <v>135</v>
      </c>
      <c r="E27" s="103"/>
      <c r="F27" s="103"/>
      <c r="G27" s="103"/>
      <c r="H27" s="103"/>
      <c r="I27" s="103"/>
      <c r="J27" s="103"/>
      <c r="K27" s="130"/>
      <c r="L27" s="120"/>
      <c r="M27" s="387" t="s">
        <v>156</v>
      </c>
      <c r="N27" s="374" t="s">
        <v>170</v>
      </c>
      <c r="O27" s="374"/>
      <c r="P27" s="456" t="str">
        <f ca="1">IF(INDIRECT(INDEX($Y:$Y,MATCH(手引き!$B27,$V:$V,0)))="","○","")</f>
        <v/>
      </c>
      <c r="Q27" s="456" t="str">
        <f ca="1">IF(INDIRECT(INDEX($Y:$Y,MATCH(手引き!$B27,$V:$V,0)+1))="","○","")</f>
        <v/>
      </c>
      <c r="R27" s="456" t="str">
        <f ca="1">IF(INDIRECT(INDEX($Y:$Y,MATCH(手引き!$B27,$V:$V,0)+2))="","○","")</f>
        <v/>
      </c>
      <c r="S27" s="456"/>
      <c r="T27" s="456"/>
      <c r="U27" s="391" t="str">
        <f ca="1">IF(INDIRECT(INDEX($AD:$AD,MATCH(手引き!$B27,$V:$V,0)))="","○","")</f>
        <v/>
      </c>
      <c r="V27" s="381"/>
      <c r="W27" s="381"/>
      <c r="X27" s="381"/>
      <c r="Y27" s="381"/>
      <c r="Z27" s="381" t="s">
        <v>251</v>
      </c>
      <c r="AA27" s="381"/>
      <c r="AB27" s="381"/>
      <c r="AC27" s="381"/>
      <c r="AD27" s="381"/>
      <c r="AE27" s="381"/>
      <c r="AF27" s="381" t="s">
        <v>252</v>
      </c>
      <c r="AG27" s="381"/>
      <c r="AH27" s="381" t="s">
        <v>271</v>
      </c>
      <c r="AI27" s="381"/>
      <c r="AJ27" s="383"/>
      <c r="AL27" s="91"/>
      <c r="AM27" s="91" t="s">
        <v>89</v>
      </c>
      <c r="AN27" s="91"/>
      <c r="AO27" s="91" t="s">
        <v>90</v>
      </c>
      <c r="AP27" s="91"/>
      <c r="AQ27" s="91" t="s">
        <v>90</v>
      </c>
      <c r="AR27" s="91"/>
      <c r="AS27" s="91" t="s">
        <v>87</v>
      </c>
      <c r="AT27" s="91"/>
      <c r="AU27" s="91" t="s">
        <v>87</v>
      </c>
    </row>
    <row r="28" spans="1:47" x14ac:dyDescent="0.3">
      <c r="A28" s="120"/>
      <c r="B28" s="140" t="s">
        <v>155</v>
      </c>
      <c r="C28" s="102"/>
      <c r="D28" s="142" t="s">
        <v>140</v>
      </c>
      <c r="E28" s="141"/>
      <c r="F28" s="141"/>
      <c r="G28" s="141"/>
      <c r="H28" s="141"/>
      <c r="I28" s="141"/>
      <c r="J28" s="141"/>
      <c r="K28" s="143"/>
      <c r="L28" s="144"/>
      <c r="M28" s="387" t="s">
        <v>157</v>
      </c>
      <c r="N28" s="374" t="s">
        <v>170</v>
      </c>
      <c r="O28" s="374"/>
      <c r="P28" s="456" t="str">
        <f ca="1">IF(INDIRECT(INDEX($Y:$Y,MATCH(手引き!$B28,$V:$V,0)))="","○","")</f>
        <v/>
      </c>
      <c r="Q28" s="456" t="str">
        <f ca="1">IF(INDIRECT(INDEX($Y:$Y,MATCH(手引き!$B28,$V:$V,0)+1))="","○","")</f>
        <v/>
      </c>
      <c r="R28" s="456" t="str">
        <f ca="1">IF(INDIRECT(INDEX($Y:$Y,MATCH(手引き!$B28,$V:$V,0)+2))="","○","")</f>
        <v/>
      </c>
      <c r="S28" s="456"/>
      <c r="T28" s="456"/>
      <c r="U28" s="391" t="str">
        <f ca="1">IF(INDIRECT(INDEX($AD:$AD,MATCH(手引き!$B28,$V:$V,0)))="","○","")</f>
        <v/>
      </c>
      <c r="V28" s="381"/>
      <c r="W28" s="381"/>
      <c r="X28" s="381" t="s">
        <v>108</v>
      </c>
      <c r="Y28" s="381"/>
      <c r="Z28" s="382">
        <v>1.3</v>
      </c>
      <c r="AA28" s="381"/>
      <c r="AB28" s="381"/>
      <c r="AC28" s="381" t="s">
        <v>46</v>
      </c>
      <c r="AD28" s="381"/>
      <c r="AE28" s="381"/>
      <c r="AF28" s="381">
        <v>30</v>
      </c>
      <c r="AG28" s="381"/>
      <c r="AH28" s="381">
        <v>30</v>
      </c>
      <c r="AI28" s="381"/>
      <c r="AJ28" s="383">
        <f>AF28-AH28</f>
        <v>0</v>
      </c>
      <c r="AL28" s="91"/>
      <c r="AM28" s="91" t="s">
        <v>106</v>
      </c>
      <c r="AN28" s="91"/>
      <c r="AO28" s="91" t="s">
        <v>91</v>
      </c>
      <c r="AP28" s="91"/>
      <c r="AQ28" s="91" t="s">
        <v>91</v>
      </c>
      <c r="AR28" s="91"/>
      <c r="AS28" s="91" t="s">
        <v>88</v>
      </c>
      <c r="AT28" s="91"/>
      <c r="AU28" s="91" t="s">
        <v>88</v>
      </c>
    </row>
    <row r="29" spans="1:47" x14ac:dyDescent="0.3">
      <c r="A29" s="120"/>
      <c r="B29" s="140" t="s">
        <v>153</v>
      </c>
      <c r="C29" s="102"/>
      <c r="D29" s="142" t="s">
        <v>136</v>
      </c>
      <c r="E29" s="141"/>
      <c r="F29" s="141"/>
      <c r="G29" s="141"/>
      <c r="H29" s="141"/>
      <c r="I29" s="141"/>
      <c r="J29" s="141"/>
      <c r="K29" s="143"/>
      <c r="L29" s="144"/>
      <c r="M29" s="387" t="s">
        <v>157</v>
      </c>
      <c r="N29" s="374" t="s">
        <v>170</v>
      </c>
      <c r="O29" s="374"/>
      <c r="P29" s="456" t="str">
        <f ca="1">IF(INDIRECT(INDEX($Y:$Y,MATCH(手引き!$B29,$V:$V,0)))="","○","")</f>
        <v/>
      </c>
      <c r="Q29" s="456" t="str">
        <f ca="1">IF(INDIRECT(INDEX($Y:$Y,MATCH(手引き!$B29,$V:$V,0)+1))="","○","")</f>
        <v/>
      </c>
      <c r="R29" s="456" t="str">
        <f ca="1">IF(INDIRECT(INDEX($Y:$Y,MATCH(手引き!$B29,$V:$V,0)+2))="","○","")</f>
        <v/>
      </c>
      <c r="S29" s="456"/>
      <c r="T29" s="456"/>
      <c r="U29" s="391" t="str">
        <f ca="1">IF(INDIRECT(INDEX($AD:$AD,MATCH(手引き!$B29,$V:$V,0)))="","○","")</f>
        <v/>
      </c>
      <c r="V29" s="381" t="s">
        <v>464</v>
      </c>
      <c r="W29" s="381" t="s">
        <v>253</v>
      </c>
      <c r="X29" s="381" t="s">
        <v>268</v>
      </c>
      <c r="Y29" s="381" t="s">
        <v>465</v>
      </c>
      <c r="Z29" s="381" t="s">
        <v>466</v>
      </c>
      <c r="AA29" s="381"/>
      <c r="AB29" s="381" t="s">
        <v>253</v>
      </c>
      <c r="AC29" s="381" t="s">
        <v>268</v>
      </c>
      <c r="AD29" s="381" t="s">
        <v>467</v>
      </c>
      <c r="AE29" s="381" t="s">
        <v>468</v>
      </c>
      <c r="AF29" s="381"/>
      <c r="AG29" s="381"/>
      <c r="AH29" s="381"/>
      <c r="AI29" s="381"/>
      <c r="AJ29" s="383"/>
      <c r="AL29" s="91"/>
      <c r="AM29" s="91" t="s">
        <v>107</v>
      </c>
      <c r="AN29" s="91"/>
      <c r="AO29" s="91" t="s">
        <v>92</v>
      </c>
      <c r="AP29" s="91"/>
      <c r="AQ29" s="91" t="s">
        <v>92</v>
      </c>
      <c r="AR29" s="91"/>
      <c r="AS29" s="91" t="s">
        <v>237</v>
      </c>
      <c r="AT29" s="91"/>
      <c r="AU29" s="91" t="s">
        <v>237</v>
      </c>
    </row>
    <row r="30" spans="1:47" x14ac:dyDescent="0.3">
      <c r="A30" s="120"/>
      <c r="B30" s="140" t="s">
        <v>479</v>
      </c>
      <c r="C30" s="102"/>
      <c r="D30" s="141" t="s">
        <v>137</v>
      </c>
      <c r="E30" s="141"/>
      <c r="F30" s="141"/>
      <c r="G30" s="141"/>
      <c r="H30" s="141"/>
      <c r="I30" s="141"/>
      <c r="J30" s="141"/>
      <c r="K30" s="143"/>
      <c r="L30" s="144"/>
      <c r="M30" s="387" t="s">
        <v>158</v>
      </c>
      <c r="N30" s="374" t="s">
        <v>170</v>
      </c>
      <c r="O30" s="374"/>
      <c r="P30" s="456" t="str">
        <f ca="1">IF(INDIRECT(INDEX($Y:$Y,MATCH(手引き!$B30,$V:$V,0)))="","○","")</f>
        <v/>
      </c>
      <c r="Q30" s="456" t="str">
        <f ca="1">IF(INDIRECT(INDEX($Y:$Y,MATCH(手引き!$B30,$V:$V,0)+1))="","○","")</f>
        <v/>
      </c>
      <c r="R30" s="456" t="str">
        <f ca="1">IF(INDIRECT(INDEX($Y:$Y,MATCH(手引き!$B30,$V:$V,0)+2))="","○","")</f>
        <v/>
      </c>
      <c r="S30" s="456"/>
      <c r="T30" s="456"/>
      <c r="U30" s="391" t="str">
        <f ca="1">IF(INDIRECT(INDEX($AD:$AD,MATCH(手引き!$B30,$V:$V,0)))="","○","")</f>
        <v/>
      </c>
      <c r="V30" s="381"/>
      <c r="W30" s="381" t="s">
        <v>253</v>
      </c>
      <c r="X30" s="381" t="s">
        <v>167</v>
      </c>
      <c r="Y30" s="381" t="s">
        <v>469</v>
      </c>
      <c r="Z30" s="381" t="s">
        <v>470</v>
      </c>
      <c r="AA30" s="381"/>
      <c r="AB30" s="381" t="s">
        <v>253</v>
      </c>
      <c r="AC30" s="381" t="s">
        <v>167</v>
      </c>
      <c r="AD30" s="381" t="s">
        <v>471</v>
      </c>
      <c r="AE30" s="381" t="s">
        <v>472</v>
      </c>
      <c r="AF30" s="381"/>
      <c r="AG30" s="381"/>
      <c r="AH30" s="381"/>
      <c r="AI30" s="381"/>
      <c r="AJ30" s="383"/>
      <c r="AL30" s="91"/>
      <c r="AM30" s="91" t="s">
        <v>90</v>
      </c>
      <c r="AN30" s="91"/>
      <c r="AO30" s="91" t="s">
        <v>93</v>
      </c>
      <c r="AP30" s="91"/>
      <c r="AQ30" s="91" t="s">
        <v>93</v>
      </c>
      <c r="AR30" s="91"/>
      <c r="AS30" s="91" t="s">
        <v>106</v>
      </c>
      <c r="AT30" s="91"/>
      <c r="AU30" s="91" t="s">
        <v>106</v>
      </c>
    </row>
    <row r="31" spans="1:47" x14ac:dyDescent="0.3">
      <c r="A31" s="120"/>
      <c r="B31" s="457" t="s">
        <v>481</v>
      </c>
      <c r="C31" s="102"/>
      <c r="D31" s="145" t="s">
        <v>160</v>
      </c>
      <c r="E31" s="145"/>
      <c r="F31" s="145"/>
      <c r="G31" s="145"/>
      <c r="H31" s="145"/>
      <c r="I31" s="145"/>
      <c r="J31" s="145"/>
      <c r="K31" s="146"/>
      <c r="L31" s="147"/>
      <c r="M31" s="387" t="s">
        <v>158</v>
      </c>
      <c r="N31" s="374" t="s">
        <v>118</v>
      </c>
      <c r="O31" s="374"/>
      <c r="P31" s="456" t="str">
        <f ca="1">IF(INDIRECT(INDEX($Y:$Y,MATCH(手引き!$B31,$V:$V,0)))="","○","")</f>
        <v/>
      </c>
      <c r="Q31" s="456" t="str">
        <f ca="1">IF(INDIRECT(INDEX($Y:$Y,MATCH(手引き!$B31,$V:$V,0)+1))="","○","")</f>
        <v/>
      </c>
      <c r="R31" s="456" t="str">
        <f ca="1">IF(INDIRECT(INDEX($Y:$Y,MATCH(手引き!$B31,$V:$V,0)+2))="","○","")</f>
        <v/>
      </c>
      <c r="S31" s="456"/>
      <c r="T31" s="456"/>
      <c r="U31" s="391" t="str">
        <f ca="1">IF(INDIRECT(INDEX($AD:$AD,MATCH(手引き!$B31,$V:$V,0)))="","○","")</f>
        <v/>
      </c>
      <c r="V31" s="381"/>
      <c r="W31" s="381" t="s">
        <v>253</v>
      </c>
      <c r="X31" s="381" t="s">
        <v>118</v>
      </c>
      <c r="Y31" s="381" t="s">
        <v>473</v>
      </c>
      <c r="Z31" s="381" t="s">
        <v>474</v>
      </c>
      <c r="AA31" s="381"/>
      <c r="AB31" s="381" t="s">
        <v>253</v>
      </c>
      <c r="AC31" s="381" t="s">
        <v>118</v>
      </c>
      <c r="AD31" s="381" t="s">
        <v>475</v>
      </c>
      <c r="AE31" s="381" t="s">
        <v>476</v>
      </c>
      <c r="AF31" s="381"/>
      <c r="AG31" s="381"/>
      <c r="AH31" s="381"/>
      <c r="AI31" s="381"/>
      <c r="AJ31" s="383"/>
      <c r="AL31" s="91"/>
      <c r="AM31" s="91" t="s">
        <v>91</v>
      </c>
      <c r="AN31" s="91"/>
      <c r="AO31" s="91" t="s">
        <v>94</v>
      </c>
      <c r="AP31" s="91"/>
      <c r="AQ31" s="91" t="s">
        <v>94</v>
      </c>
      <c r="AR31" s="91"/>
      <c r="AS31" s="91" t="s">
        <v>107</v>
      </c>
      <c r="AT31" s="91"/>
      <c r="AU31" s="91" t="s">
        <v>107</v>
      </c>
    </row>
    <row r="32" spans="1:47" x14ac:dyDescent="0.3">
      <c r="A32" s="120"/>
      <c r="B32" s="457"/>
      <c r="C32" s="458"/>
      <c r="D32" s="145" t="s">
        <v>161</v>
      </c>
      <c r="E32" s="145"/>
      <c r="F32" s="145"/>
      <c r="G32" s="145"/>
      <c r="H32" s="145"/>
      <c r="I32" s="145"/>
      <c r="J32" s="145"/>
      <c r="K32" s="146"/>
      <c r="L32" s="147"/>
      <c r="M32" s="392"/>
      <c r="N32" s="374"/>
      <c r="O32" s="374"/>
      <c r="P32" s="456"/>
      <c r="Q32" s="456"/>
      <c r="R32" s="456"/>
      <c r="S32" s="456"/>
      <c r="T32" s="456"/>
      <c r="U32" s="391"/>
      <c r="V32" s="381"/>
      <c r="W32" s="381" t="s">
        <v>253</v>
      </c>
      <c r="X32" s="381"/>
      <c r="Y32" s="381"/>
      <c r="Z32" s="381"/>
      <c r="AA32" s="381"/>
      <c r="AB32" s="381" t="s">
        <v>253</v>
      </c>
      <c r="AC32" s="381"/>
      <c r="AD32" s="381"/>
      <c r="AE32" s="381"/>
      <c r="AF32" s="381"/>
      <c r="AG32" s="381"/>
      <c r="AH32" s="381"/>
      <c r="AI32" s="381"/>
      <c r="AJ32" s="383"/>
      <c r="AL32" s="91"/>
      <c r="AM32" s="91" t="s">
        <v>92</v>
      </c>
      <c r="AR32" s="91"/>
      <c r="AS32" s="91" t="s">
        <v>90</v>
      </c>
      <c r="AT32" s="91"/>
      <c r="AU32" s="91" t="s">
        <v>90</v>
      </c>
    </row>
    <row r="33" spans="1:47" x14ac:dyDescent="0.3">
      <c r="A33" s="120"/>
      <c r="B33" s="457"/>
      <c r="C33" s="458"/>
      <c r="D33" s="145" t="s">
        <v>138</v>
      </c>
      <c r="E33" s="145"/>
      <c r="F33" s="145"/>
      <c r="G33" s="145"/>
      <c r="H33" s="145"/>
      <c r="I33" s="145"/>
      <c r="J33" s="145"/>
      <c r="K33" s="146"/>
      <c r="L33" s="147"/>
      <c r="M33" s="392"/>
      <c r="N33" s="374"/>
      <c r="O33" s="374"/>
      <c r="P33" s="456"/>
      <c r="Q33" s="456"/>
      <c r="R33" s="456"/>
      <c r="S33" s="456"/>
      <c r="T33" s="456"/>
      <c r="U33" s="391"/>
      <c r="V33" s="381"/>
      <c r="W33" s="381" t="s">
        <v>254</v>
      </c>
      <c r="X33" s="381" t="s">
        <v>216</v>
      </c>
      <c r="Y33" s="381"/>
      <c r="Z33" s="381"/>
      <c r="AA33" s="381"/>
      <c r="AB33" s="381"/>
      <c r="AC33" s="381"/>
      <c r="AD33" s="381"/>
      <c r="AE33" s="381"/>
      <c r="AF33" s="381"/>
      <c r="AG33" s="381"/>
      <c r="AH33" s="381"/>
      <c r="AI33" s="381"/>
      <c r="AJ33" s="383"/>
      <c r="AL33" s="91"/>
      <c r="AM33" s="91" t="s">
        <v>93</v>
      </c>
      <c r="AR33" s="91"/>
      <c r="AS33" s="91" t="s">
        <v>91</v>
      </c>
      <c r="AT33" s="91"/>
      <c r="AU33" s="91" t="s">
        <v>91</v>
      </c>
    </row>
    <row r="34" spans="1:47" x14ac:dyDescent="0.3">
      <c r="A34" s="120"/>
      <c r="B34" s="457"/>
      <c r="C34" s="458"/>
      <c r="D34" s="145" t="s">
        <v>529</v>
      </c>
      <c r="E34" s="145"/>
      <c r="F34" s="145"/>
      <c r="G34" s="145"/>
      <c r="H34" s="145"/>
      <c r="I34" s="145"/>
      <c r="J34" s="145"/>
      <c r="K34" s="146"/>
      <c r="L34" s="147"/>
      <c r="M34" s="392"/>
      <c r="N34" s="374"/>
      <c r="O34" s="374"/>
      <c r="P34" s="456"/>
      <c r="Q34" s="456"/>
      <c r="R34" s="456"/>
      <c r="S34" s="456"/>
      <c r="T34" s="456"/>
      <c r="U34" s="391"/>
      <c r="V34" s="381"/>
      <c r="W34" s="381"/>
      <c r="X34" s="381" t="str">
        <f>VLOOKUP($X33,名前2!$A$5:$B$8,2,0)</f>
        <v>車種区分①</v>
      </c>
      <c r="Y34" s="381"/>
      <c r="Z34" s="381"/>
      <c r="AA34" s="381"/>
      <c r="AB34" s="381"/>
      <c r="AC34" s="381"/>
      <c r="AD34" s="381"/>
      <c r="AE34" s="381"/>
      <c r="AF34" s="381"/>
      <c r="AG34" s="381"/>
      <c r="AH34" s="381"/>
      <c r="AI34" s="381"/>
      <c r="AJ34" s="383"/>
      <c r="AL34" s="91"/>
      <c r="AM34" s="91" t="s">
        <v>94</v>
      </c>
      <c r="AR34" s="91"/>
      <c r="AS34" s="91" t="s">
        <v>92</v>
      </c>
      <c r="AT34" s="91"/>
      <c r="AU34" s="91" t="s">
        <v>92</v>
      </c>
    </row>
    <row r="35" spans="1:47" x14ac:dyDescent="0.3">
      <c r="A35" s="120"/>
      <c r="B35" s="140" t="s">
        <v>154</v>
      </c>
      <c r="C35" s="102"/>
      <c r="D35" s="145" t="s">
        <v>139</v>
      </c>
      <c r="E35" s="145"/>
      <c r="F35" s="145"/>
      <c r="G35" s="145"/>
      <c r="H35" s="145"/>
      <c r="I35" s="145"/>
      <c r="J35" s="145"/>
      <c r="K35" s="146"/>
      <c r="L35" s="147"/>
      <c r="M35" s="387" t="s">
        <v>515</v>
      </c>
      <c r="N35" s="374" t="s">
        <v>118</v>
      </c>
      <c r="O35" s="374"/>
      <c r="P35" s="456" t="str">
        <f ca="1">IF(INDIRECT(INDEX($Y:$Y,MATCH(手引き!$B35,$V:$V,0)))="","○","")</f>
        <v/>
      </c>
      <c r="Q35" s="456" t="str">
        <f ca="1">IF(INDIRECT(INDEX($Y:$Y,MATCH(手引き!$B35,$V:$V,0)+1))="","○","")</f>
        <v/>
      </c>
      <c r="R35" s="456" t="str">
        <f ca="1">IF(INDIRECT(INDEX($Y:$Y,MATCH(手引き!$B35,$V:$V,0)+2))="","○","")</f>
        <v/>
      </c>
      <c r="S35" s="456"/>
      <c r="T35" s="456"/>
      <c r="U35" s="391" t="str">
        <f ca="1">IF(INDIRECT(INDEX($AD:$AD,MATCH(手引き!$B35,$V:$V,0)))="","○","")</f>
        <v/>
      </c>
      <c r="V35" s="381"/>
      <c r="W35" s="381"/>
      <c r="X35" s="381"/>
      <c r="Y35" s="381"/>
      <c r="Z35" s="381" t="s">
        <v>251</v>
      </c>
      <c r="AA35" s="381"/>
      <c r="AB35" s="381"/>
      <c r="AC35" s="381"/>
      <c r="AD35" s="381"/>
      <c r="AE35" s="381"/>
      <c r="AF35" s="381" t="s">
        <v>252</v>
      </c>
      <c r="AG35" s="381"/>
      <c r="AH35" s="381" t="s">
        <v>271</v>
      </c>
      <c r="AI35" s="381"/>
      <c r="AJ35" s="383"/>
      <c r="AS35" s="91" t="s">
        <v>93</v>
      </c>
      <c r="AT35"/>
      <c r="AU35" s="91" t="s">
        <v>93</v>
      </c>
    </row>
    <row r="36" spans="1:47" x14ac:dyDescent="0.3">
      <c r="A36" s="120"/>
      <c r="B36" s="140" t="s">
        <v>409</v>
      </c>
      <c r="C36" s="102"/>
      <c r="D36" s="145" t="s">
        <v>159</v>
      </c>
      <c r="E36" s="145"/>
      <c r="F36" s="145"/>
      <c r="G36" s="145"/>
      <c r="H36" s="145"/>
      <c r="I36" s="145"/>
      <c r="J36" s="145"/>
      <c r="K36" s="146"/>
      <c r="L36" s="147"/>
      <c r="M36" s="387" t="s">
        <v>159</v>
      </c>
      <c r="N36" s="374" t="s">
        <v>118</v>
      </c>
      <c r="O36" s="374"/>
      <c r="P36" s="456" t="str">
        <f ca="1">IF(INDIRECT(INDEX($Y:$Y,MATCH(手引き!$B36,$V:$V,0)))="","○","")</f>
        <v/>
      </c>
      <c r="Q36" s="456" t="str">
        <f ca="1">IF(INDIRECT(INDEX($Y:$Y,MATCH(手引き!$B36,$V:$V,0)+1))="","○","")</f>
        <v/>
      </c>
      <c r="R36" s="456" t="str">
        <f ca="1">IF(INDIRECT(INDEX($Y:$Y,MATCH(手引き!$B36,$V:$V,0)+2))="","○","")</f>
        <v/>
      </c>
      <c r="S36" s="456"/>
      <c r="T36" s="456"/>
      <c r="U36" s="391" t="str">
        <f ca="1">IF(INDIRECT(INDEX($AD:$AD,MATCH(手引き!$B36,$V:$V,0)))="","○","")</f>
        <v/>
      </c>
      <c r="V36" s="381"/>
      <c r="W36" s="381"/>
      <c r="X36" s="381" t="s">
        <v>108</v>
      </c>
      <c r="Y36" s="381"/>
      <c r="Z36" s="382">
        <v>1.2</v>
      </c>
      <c r="AA36" s="381"/>
      <c r="AB36" s="381"/>
      <c r="AC36" s="381" t="s">
        <v>46</v>
      </c>
      <c r="AD36" s="381"/>
      <c r="AE36" s="381"/>
      <c r="AF36" s="381">
        <v>30</v>
      </c>
      <c r="AG36" s="381"/>
      <c r="AH36" s="381">
        <v>30</v>
      </c>
      <c r="AI36" s="381"/>
      <c r="AJ36" s="383">
        <f>AF36-AH36</f>
        <v>0</v>
      </c>
      <c r="AS36" s="91" t="s">
        <v>94</v>
      </c>
      <c r="AT36"/>
      <c r="AU36" s="91" t="s">
        <v>94</v>
      </c>
    </row>
    <row r="37" spans="1:47" ht="15.6" thickBot="1" x14ac:dyDescent="0.35">
      <c r="A37" s="120"/>
      <c r="B37" s="148" t="s">
        <v>482</v>
      </c>
      <c r="C37" s="101"/>
      <c r="D37" s="149" t="s">
        <v>483</v>
      </c>
      <c r="E37" s="149"/>
      <c r="F37" s="149"/>
      <c r="G37" s="149"/>
      <c r="H37" s="149"/>
      <c r="I37" s="149"/>
      <c r="J37" s="149"/>
      <c r="K37" s="150"/>
      <c r="L37" s="147"/>
      <c r="M37" s="387" t="s">
        <v>516</v>
      </c>
      <c r="N37" s="374" t="s">
        <v>118</v>
      </c>
      <c r="O37" s="374"/>
      <c r="P37" s="456" t="str">
        <f ca="1">IF(INDIRECT(INDEX($Y:$Y,MATCH(手引き!$B37,$V:$V,0)))="","○","")</f>
        <v/>
      </c>
      <c r="Q37" s="456" t="str">
        <f ca="1">IF(INDIRECT(INDEX($Y:$Y,MATCH(手引き!$B37,$V:$V,0)+1))="","○","")</f>
        <v/>
      </c>
      <c r="R37" s="456" t="str">
        <f ca="1">IF(INDIRECT(INDEX($Y:$Y,MATCH(手引き!$B37,$V:$V,0)+2))="","○","")</f>
        <v/>
      </c>
      <c r="S37" s="456"/>
      <c r="T37" s="456"/>
      <c r="U37" s="391" t="str">
        <f ca="1">IF(INDIRECT(INDEX($AD:$AD,MATCH(手引き!$B37,$V:$V,0)))="","○","")</f>
        <v/>
      </c>
      <c r="V37" s="381" t="s">
        <v>481</v>
      </c>
      <c r="W37" s="381" t="s">
        <v>253</v>
      </c>
      <c r="X37" s="381" t="s">
        <v>268</v>
      </c>
      <c r="Y37" s="381" t="s">
        <v>502</v>
      </c>
      <c r="Z37" s="381" t="s">
        <v>509</v>
      </c>
      <c r="AA37" s="381"/>
      <c r="AB37" s="381" t="s">
        <v>253</v>
      </c>
      <c r="AC37" s="381" t="s">
        <v>268</v>
      </c>
      <c r="AD37" s="381" t="s">
        <v>506</v>
      </c>
      <c r="AE37" s="381" t="s">
        <v>508</v>
      </c>
      <c r="AF37" s="381"/>
      <c r="AG37" s="381"/>
      <c r="AH37" s="381"/>
      <c r="AI37" s="381"/>
      <c r="AJ37" s="383"/>
      <c r="AS37" s="91" t="s">
        <v>238</v>
      </c>
      <c r="AT37"/>
      <c r="AU37"/>
    </row>
    <row r="38" spans="1:47" ht="15.6" thickBot="1" x14ac:dyDescent="0.35">
      <c r="A38" s="120"/>
      <c r="B38" s="120"/>
      <c r="C38" s="120"/>
      <c r="D38" s="120"/>
      <c r="E38" s="138"/>
      <c r="F38" s="120"/>
      <c r="G38" s="120"/>
      <c r="H38" s="120"/>
      <c r="I38" s="120"/>
      <c r="J38" s="120"/>
      <c r="K38" s="120"/>
      <c r="L38" s="147"/>
      <c r="M38" s="387"/>
      <c r="N38" s="374"/>
      <c r="O38" s="374"/>
      <c r="P38" s="377">
        <f ca="1">COUNTIF(P27:P37,"○")</f>
        <v>0</v>
      </c>
      <c r="Q38" s="377">
        <f ca="1">COUNTIF(Q27:Q37,"○")</f>
        <v>0</v>
      </c>
      <c r="R38" s="377">
        <f ca="1">COUNTIF(R27:R37,"○")</f>
        <v>0</v>
      </c>
      <c r="S38" s="377"/>
      <c r="T38" s="377">
        <f ca="1">SUM(P38:S38)</f>
        <v>0</v>
      </c>
      <c r="U38" s="393">
        <f ca="1">COUNTIF(U27:U37,"○")</f>
        <v>0</v>
      </c>
      <c r="V38" s="381"/>
      <c r="W38" s="381" t="s">
        <v>253</v>
      </c>
      <c r="X38" s="381" t="s">
        <v>167</v>
      </c>
      <c r="Y38" s="381" t="s">
        <v>504</v>
      </c>
      <c r="Z38" s="381" t="s">
        <v>510</v>
      </c>
      <c r="AA38" s="381"/>
      <c r="AB38" s="381" t="s">
        <v>253</v>
      </c>
      <c r="AC38" s="381" t="s">
        <v>167</v>
      </c>
      <c r="AD38" s="381" t="s">
        <v>503</v>
      </c>
      <c r="AE38" s="381" t="s">
        <v>511</v>
      </c>
      <c r="AF38" s="381"/>
      <c r="AG38" s="381"/>
      <c r="AH38" s="381"/>
      <c r="AI38" s="381"/>
      <c r="AJ38" s="383"/>
      <c r="AS38" s="91" t="s">
        <v>239</v>
      </c>
    </row>
    <row r="39" spans="1:47" ht="15.6" thickBot="1" x14ac:dyDescent="0.35">
      <c r="A39" s="120"/>
      <c r="B39" s="121" t="s">
        <v>134</v>
      </c>
      <c r="C39" s="122"/>
      <c r="D39" s="122"/>
      <c r="E39" s="139"/>
      <c r="F39" s="122"/>
      <c r="G39" s="122"/>
      <c r="H39" s="122"/>
      <c r="I39" s="460" t="str">
        <f ca="1">IF(COUNTIF(M40:O42,"☓")&gt;0,"入力内容を確認してください","入力完了")</f>
        <v>入力内容を確認してください</v>
      </c>
      <c r="J39" s="461"/>
      <c r="K39" s="462"/>
      <c r="L39" s="147"/>
      <c r="M39" s="387" t="s">
        <v>517</v>
      </c>
      <c r="N39" s="98" t="s">
        <v>518</v>
      </c>
      <c r="O39" s="98" t="s">
        <v>519</v>
      </c>
      <c r="P39" s="374" t="str">
        <f ca="1">IFERROR(LEFT(VLOOKUP("○",INDIRECT(別紙!$Z$3),2,0),1),"")</f>
        <v/>
      </c>
      <c r="Q39" s="374" t="str">
        <f ca="1">IFERROR(LEFT(VLOOKUP("○",INDIRECT(別紙!$Z$4),2,0),1),"")</f>
        <v/>
      </c>
      <c r="R39" s="374" t="str">
        <f ca="1">IFERROR(LEFT(VLOOKUP("○",INDIRECT(別紙!$Z$5),2,0),1),"")</f>
        <v/>
      </c>
      <c r="S39" s="374" t="str">
        <f ca="1">IFERROR(LEFT(VLOOKUP("○",INDIRECT(別紙!$Z$6),2,0),1),"")</f>
        <v/>
      </c>
      <c r="T39" s="374" t="str">
        <f ca="1">CONCATENATE(P39,Q39,R39,S39,"-")</f>
        <v>-</v>
      </c>
      <c r="U39" s="388"/>
      <c r="V39" s="381"/>
      <c r="W39" s="381" t="s">
        <v>253</v>
      </c>
      <c r="X39" s="381" t="s">
        <v>118</v>
      </c>
      <c r="Y39" s="381" t="s">
        <v>505</v>
      </c>
      <c r="Z39" s="381" t="s">
        <v>512</v>
      </c>
      <c r="AA39" s="381"/>
      <c r="AB39" s="381" t="s">
        <v>253</v>
      </c>
      <c r="AC39" s="381" t="s">
        <v>118</v>
      </c>
      <c r="AD39" s="381" t="s">
        <v>507</v>
      </c>
      <c r="AE39" s="381" t="s">
        <v>513</v>
      </c>
      <c r="AF39" s="381"/>
      <c r="AG39" s="381"/>
      <c r="AH39" s="381"/>
      <c r="AI39" s="381"/>
      <c r="AJ39" s="383"/>
      <c r="AS39" s="91" t="s">
        <v>240</v>
      </c>
    </row>
    <row r="40" spans="1:47" ht="15.6" thickBot="1" x14ac:dyDescent="0.35">
      <c r="A40" s="120">
        <v>5</v>
      </c>
      <c r="B40" s="148"/>
      <c r="C40" s="151" t="s">
        <v>151</v>
      </c>
      <c r="D40" s="152" t="e">
        <f>HYPERLINK("#"&amp;$M$26&amp;"!A1","運賃額設定")</f>
        <v>#N/A</v>
      </c>
      <c r="E40" s="132" t="s">
        <v>150</v>
      </c>
      <c r="F40" s="132"/>
      <c r="G40" s="132"/>
      <c r="H40" s="132"/>
      <c r="I40" s="132"/>
      <c r="J40" s="132" t="e">
        <f>VLOOKUP("○",$C$27:$N$37,11,0)</f>
        <v>#N/A</v>
      </c>
      <c r="K40" s="135"/>
      <c r="L40" s="147"/>
      <c r="M40" s="398" t="e">
        <f ca="1">IF(C24="○","○",IF(COUNTIF(INDIRECT($M$26&amp;"!$A:$A"),"○")&gt;0,"○","☓"))</f>
        <v>#N/A</v>
      </c>
      <c r="N40" s="395" t="e">
        <f ca="1">IF(COUNTIF(INDIRECT($M$26&amp;"!$O:$O"),"○")&gt;0,"○","☓")</f>
        <v>#N/A</v>
      </c>
      <c r="O40" s="374" t="str">
        <f ca="1">IF(ISERROR(M40),"☓","")</f>
        <v>☓</v>
      </c>
      <c r="P40" s="374" t="str">
        <f ca="1">IFERROR(LEFT(VLOOKUP("○",INDIRECT(別紙!$AE$3),2,0),1),"")</f>
        <v/>
      </c>
      <c r="Q40" s="374" t="str">
        <f ca="1">IFERROR(LEFT(VLOOKUP("○",INDIRECT(別紙!$AE$4),2,0),1),"")</f>
        <v/>
      </c>
      <c r="R40" s="374" t="str">
        <f ca="1">IFERROR(LEFT(VLOOKUP("○",INDIRECT(別紙!$AE$5),2,0),1),"")</f>
        <v/>
      </c>
      <c r="S40" s="374" t="str">
        <f ca="1">IFERROR(LEFT(VLOOKUP("○",INDIRECT(別紙!$AE$6),2,0),1),"")</f>
        <v/>
      </c>
      <c r="T40" s="374" t="str">
        <f ca="1">CONCATENATE(P40,Q40,R40,S40,"-")</f>
        <v>-</v>
      </c>
      <c r="U40" s="388"/>
      <c r="V40" s="381"/>
      <c r="W40" s="381"/>
      <c r="X40" s="381"/>
      <c r="Y40" s="381"/>
      <c r="Z40" s="381"/>
      <c r="AA40" s="381"/>
      <c r="AB40" s="381"/>
      <c r="AC40" s="381"/>
      <c r="AD40" s="381"/>
      <c r="AE40" s="381"/>
      <c r="AF40" s="381"/>
      <c r="AG40" s="381"/>
      <c r="AH40" s="381"/>
      <c r="AI40" s="381"/>
      <c r="AJ40" s="383"/>
      <c r="AS40" s="91" t="s">
        <v>241</v>
      </c>
    </row>
    <row r="41" spans="1:47" ht="16.2" thickTop="1" thickBot="1" x14ac:dyDescent="0.35">
      <c r="A41" s="120"/>
      <c r="B41" s="103"/>
      <c r="C41" s="153"/>
      <c r="D41" s="279" t="s">
        <v>349</v>
      </c>
      <c r="E41" s="103"/>
      <c r="F41" s="103"/>
      <c r="G41" s="103"/>
      <c r="H41" s="103"/>
      <c r="I41" s="103"/>
      <c r="J41" s="103"/>
      <c r="K41" s="103"/>
      <c r="L41" s="147"/>
      <c r="M41" s="406" t="s">
        <v>446</v>
      </c>
      <c r="N41" s="407"/>
      <c r="O41" s="407"/>
      <c r="P41" s="407"/>
      <c r="Q41" s="407"/>
      <c r="R41" s="407"/>
      <c r="S41" s="407"/>
      <c r="T41" s="407"/>
      <c r="U41" s="408"/>
      <c r="V41" s="396"/>
      <c r="W41" s="381" t="s">
        <v>254</v>
      </c>
      <c r="X41" s="381" t="s">
        <v>223</v>
      </c>
      <c r="Y41" s="381"/>
      <c r="Z41" s="381"/>
      <c r="AA41" s="381"/>
      <c r="AB41" s="381"/>
      <c r="AC41" s="381"/>
      <c r="AD41" s="381"/>
      <c r="AE41" s="381"/>
      <c r="AF41" s="381"/>
      <c r="AG41" s="381"/>
      <c r="AH41" s="381"/>
      <c r="AI41" s="381"/>
      <c r="AJ41" s="383"/>
      <c r="AQ41" s="91"/>
    </row>
    <row r="42" spans="1:47" ht="16.2" thickTop="1" thickBot="1" x14ac:dyDescent="0.35">
      <c r="A42" s="120"/>
      <c r="B42" s="121" t="s">
        <v>305</v>
      </c>
      <c r="C42" s="122"/>
      <c r="D42" s="122"/>
      <c r="E42" s="139"/>
      <c r="F42" s="122"/>
      <c r="G42" s="122"/>
      <c r="H42" s="122"/>
      <c r="I42" s="460" t="str">
        <f>IF(COUNTIF(M43:O43,"☓")&gt;0,"入力内容を確認してください","入力完了")</f>
        <v>入力内容を確認してください</v>
      </c>
      <c r="J42" s="461"/>
      <c r="K42" s="462"/>
      <c r="L42" s="120"/>
      <c r="M42" s="399" t="s">
        <v>312</v>
      </c>
      <c r="N42" s="374" t="s">
        <v>313</v>
      </c>
      <c r="O42" s="374"/>
      <c r="P42" s="374"/>
      <c r="Q42" s="374"/>
      <c r="R42" s="374"/>
      <c r="S42" s="374"/>
      <c r="T42" s="374"/>
      <c r="U42" s="400"/>
      <c r="V42" s="397"/>
      <c r="W42" s="381"/>
      <c r="X42" s="381" t="str">
        <f>VLOOKUP($X41,名前2!$A$5:$B$8,2,0)</f>
        <v>車種区分③</v>
      </c>
      <c r="Y42" s="381"/>
      <c r="Z42" s="381"/>
      <c r="AA42" s="381"/>
      <c r="AB42" s="381"/>
      <c r="AC42" s="381"/>
      <c r="AD42" s="381"/>
      <c r="AE42" s="381"/>
      <c r="AF42" s="381"/>
      <c r="AG42" s="381"/>
      <c r="AH42" s="381"/>
      <c r="AI42" s="381"/>
      <c r="AJ42" s="383"/>
      <c r="AQ42" s="91"/>
    </row>
    <row r="43" spans="1:47" ht="15.6" thickBot="1" x14ac:dyDescent="0.35">
      <c r="A43" s="120">
        <v>6</v>
      </c>
      <c r="B43" s="465"/>
      <c r="C43" s="466"/>
      <c r="D43" s="154" t="s">
        <v>316</v>
      </c>
      <c r="E43" s="155"/>
      <c r="F43" s="155"/>
      <c r="G43" s="155"/>
      <c r="H43" s="155"/>
      <c r="I43" s="155"/>
      <c r="J43" s="155"/>
      <c r="K43" s="156"/>
      <c r="L43" s="120"/>
      <c r="M43" s="401" t="str">
        <f>IF(B43="短縮する",IF(COUNT(C44:C45)=2,"○","☓"),"")</f>
        <v/>
      </c>
      <c r="N43" s="395" t="str">
        <f>IF(B43="短縮する","",IF(B43="短縮しない","","☓"))</f>
        <v>☓</v>
      </c>
      <c r="O43" s="374"/>
      <c r="P43" s="374" t="s">
        <v>142</v>
      </c>
      <c r="Q43" s="374" t="str">
        <f>IF(C48="○",P43,"")</f>
        <v/>
      </c>
      <c r="R43" s="374"/>
      <c r="S43" s="374"/>
      <c r="T43" s="374"/>
      <c r="U43" s="400"/>
      <c r="V43" s="397"/>
      <c r="W43" s="381"/>
      <c r="X43" s="381"/>
      <c r="Y43" s="381"/>
      <c r="Z43" s="381" t="s">
        <v>251</v>
      </c>
      <c r="AA43" s="381"/>
      <c r="AB43" s="381"/>
      <c r="AC43" s="381"/>
      <c r="AD43" s="381"/>
      <c r="AE43" s="381"/>
      <c r="AF43" s="381" t="s">
        <v>252</v>
      </c>
      <c r="AG43" s="381"/>
      <c r="AH43" s="381" t="s">
        <v>271</v>
      </c>
      <c r="AI43" s="381"/>
      <c r="AJ43" s="383"/>
    </row>
    <row r="44" spans="1:47" x14ac:dyDescent="0.3">
      <c r="A44" s="120"/>
      <c r="B44" s="136" t="s">
        <v>306</v>
      </c>
      <c r="C44" s="369"/>
      <c r="D44" s="125" t="s">
        <v>309</v>
      </c>
      <c r="E44" s="125"/>
      <c r="F44" s="125"/>
      <c r="G44" s="125"/>
      <c r="H44" s="125"/>
      <c r="I44" s="125"/>
      <c r="J44" s="125"/>
      <c r="K44" s="127"/>
      <c r="L44" s="120"/>
      <c r="M44" s="399" t="s">
        <v>314</v>
      </c>
      <c r="N44" s="374">
        <f>IF(C44="",1,C44/別紙!AF2)</f>
        <v>1</v>
      </c>
      <c r="O44" s="374"/>
      <c r="P44" s="374" t="s">
        <v>143</v>
      </c>
      <c r="Q44" s="374" t="str">
        <f>IF(C49="○",P44,"")</f>
        <v/>
      </c>
      <c r="R44" s="374"/>
      <c r="S44" s="374"/>
      <c r="T44" s="374"/>
      <c r="U44" s="400"/>
      <c r="V44" s="397"/>
      <c r="W44" s="381"/>
      <c r="X44" s="381" t="s">
        <v>108</v>
      </c>
      <c r="Y44" s="381"/>
      <c r="Z44" s="382">
        <v>1.3</v>
      </c>
      <c r="AA44" s="381"/>
      <c r="AB44" s="381"/>
      <c r="AC44" s="381" t="s">
        <v>46</v>
      </c>
      <c r="AD44" s="381"/>
      <c r="AE44" s="381"/>
      <c r="AF44" s="381">
        <v>30</v>
      </c>
      <c r="AG44" s="381"/>
      <c r="AH44" s="381">
        <v>30</v>
      </c>
      <c r="AI44" s="381"/>
      <c r="AJ44" s="383">
        <f>AF44-AH44</f>
        <v>0</v>
      </c>
    </row>
    <row r="45" spans="1:47" ht="15.6" thickBot="1" x14ac:dyDescent="0.35">
      <c r="A45" s="120"/>
      <c r="B45" s="137" t="s">
        <v>307</v>
      </c>
      <c r="C45" s="157"/>
      <c r="D45" s="158" t="s">
        <v>308</v>
      </c>
      <c r="E45" s="132"/>
      <c r="F45" s="132"/>
      <c r="G45" s="132"/>
      <c r="H45" s="132"/>
      <c r="I45" s="132"/>
      <c r="J45" s="132"/>
      <c r="K45" s="135"/>
      <c r="L45" s="120"/>
      <c r="M45" s="399" t="s">
        <v>315</v>
      </c>
      <c r="N45" s="374">
        <f>IF(C45="",1,C45/別紙!AH2)</f>
        <v>1</v>
      </c>
      <c r="O45" s="374"/>
      <c r="P45" s="374"/>
      <c r="Q45" s="374"/>
      <c r="R45" s="374"/>
      <c r="S45" s="374"/>
      <c r="T45" s="374"/>
      <c r="U45" s="400"/>
      <c r="V45" s="381" t="s">
        <v>297</v>
      </c>
      <c r="W45" s="381" t="s">
        <v>253</v>
      </c>
      <c r="X45" s="381" t="s">
        <v>268</v>
      </c>
      <c r="Y45" s="381" t="s">
        <v>387</v>
      </c>
      <c r="Z45" s="381" t="s">
        <v>384</v>
      </c>
      <c r="AA45" s="381"/>
      <c r="AB45" s="381" t="s">
        <v>253</v>
      </c>
      <c r="AC45" s="381" t="s">
        <v>268</v>
      </c>
      <c r="AD45" s="381" t="s">
        <v>377</v>
      </c>
      <c r="AE45" s="381" t="s">
        <v>392</v>
      </c>
      <c r="AF45" s="381"/>
      <c r="AG45" s="381"/>
      <c r="AH45" s="381"/>
      <c r="AI45" s="381"/>
      <c r="AJ45" s="383"/>
    </row>
    <row r="46" spans="1:47" ht="15.6" thickBot="1" x14ac:dyDescent="0.35">
      <c r="A46" s="120"/>
      <c r="B46" s="120"/>
      <c r="C46" s="120"/>
      <c r="D46" s="120"/>
      <c r="E46" s="120"/>
      <c r="F46" s="120"/>
      <c r="G46" s="120"/>
      <c r="H46" s="120"/>
      <c r="I46" s="120"/>
      <c r="J46" s="120"/>
      <c r="K46" s="120"/>
      <c r="L46" s="120"/>
      <c r="M46" s="402">
        <f ca="1">IF(COUNTA(F50:F53)-T38=0,0,-1)</f>
        <v>0</v>
      </c>
      <c r="N46" s="374"/>
      <c r="O46" s="374"/>
      <c r="P46" s="374"/>
      <c r="Q46" s="374"/>
      <c r="R46" s="374"/>
      <c r="S46" s="374"/>
      <c r="T46" s="374"/>
      <c r="U46" s="400"/>
      <c r="V46" s="381"/>
      <c r="W46" s="381" t="s">
        <v>253</v>
      </c>
      <c r="X46" s="381" t="s">
        <v>167</v>
      </c>
      <c r="Y46" s="381" t="s">
        <v>388</v>
      </c>
      <c r="Z46" s="381" t="s">
        <v>385</v>
      </c>
      <c r="AA46" s="381"/>
      <c r="AB46" s="381" t="s">
        <v>253</v>
      </c>
      <c r="AC46" s="381" t="s">
        <v>167</v>
      </c>
      <c r="AD46" s="381" t="s">
        <v>390</v>
      </c>
      <c r="AE46" s="381" t="s">
        <v>393</v>
      </c>
      <c r="AF46" s="381"/>
      <c r="AG46" s="381"/>
      <c r="AH46" s="381"/>
      <c r="AI46" s="381"/>
      <c r="AJ46" s="383"/>
    </row>
    <row r="47" spans="1:47" ht="15.6" thickBot="1" x14ac:dyDescent="0.35">
      <c r="A47" s="120"/>
      <c r="B47" s="121" t="s">
        <v>289</v>
      </c>
      <c r="C47" s="122"/>
      <c r="D47" s="122"/>
      <c r="E47" s="122"/>
      <c r="F47" s="122"/>
      <c r="G47" s="122"/>
      <c r="H47" s="122"/>
      <c r="I47" s="460" t="str">
        <f>IF($C$49="○",IF(M46=0,"入力完了","入力内容を確認してください"),IF(COUNTA(C48:C54)=1,"入力完了","入力内容を確認してください"))</f>
        <v>入力内容を確認してください</v>
      </c>
      <c r="J47" s="461"/>
      <c r="K47" s="462"/>
      <c r="L47" s="120"/>
      <c r="M47" s="399" t="e">
        <f>IF(VLOOKUP($C$49,$C$27:$N$37,12,0)="普通車",2,3)</f>
        <v>#N/A</v>
      </c>
      <c r="N47" s="374"/>
      <c r="O47" s="374"/>
      <c r="P47" s="374"/>
      <c r="Q47" s="374"/>
      <c r="R47" s="374"/>
      <c r="S47" s="374"/>
      <c r="T47" s="374"/>
      <c r="U47" s="400"/>
      <c r="V47" s="381"/>
      <c r="W47" s="381" t="s">
        <v>253</v>
      </c>
      <c r="X47" s="381" t="s">
        <v>118</v>
      </c>
      <c r="Y47" s="381" t="s">
        <v>389</v>
      </c>
      <c r="Z47" s="381" t="s">
        <v>386</v>
      </c>
      <c r="AA47" s="381"/>
      <c r="AB47" s="381" t="s">
        <v>253</v>
      </c>
      <c r="AC47" s="381" t="s">
        <v>118</v>
      </c>
      <c r="AD47" s="381" t="s">
        <v>391</v>
      </c>
      <c r="AE47" s="381" t="s">
        <v>394</v>
      </c>
      <c r="AF47" s="381"/>
      <c r="AG47" s="381"/>
      <c r="AH47" s="381"/>
      <c r="AI47" s="381"/>
      <c r="AJ47" s="383"/>
    </row>
    <row r="48" spans="1:47" x14ac:dyDescent="0.3">
      <c r="A48" s="120">
        <v>7</v>
      </c>
      <c r="B48" s="136" t="s">
        <v>213</v>
      </c>
      <c r="C48" s="100"/>
      <c r="D48" s="125" t="s">
        <v>291</v>
      </c>
      <c r="E48" s="125"/>
      <c r="F48" s="125"/>
      <c r="G48" s="125"/>
      <c r="H48" s="125"/>
      <c r="I48" s="125"/>
      <c r="J48" s="125"/>
      <c r="K48" s="127"/>
      <c r="L48" s="120"/>
      <c r="M48" s="399"/>
      <c r="N48" s="374"/>
      <c r="O48" s="374"/>
      <c r="P48" s="374"/>
      <c r="Q48" s="374"/>
      <c r="R48" s="374"/>
      <c r="S48" s="374"/>
      <c r="T48" s="374"/>
      <c r="U48" s="400"/>
      <c r="V48" s="381"/>
      <c r="W48" s="381"/>
      <c r="X48" s="381"/>
      <c r="Y48" s="381"/>
      <c r="Z48" s="381"/>
      <c r="AA48" s="381"/>
      <c r="AB48" s="381"/>
      <c r="AC48" s="381"/>
      <c r="AD48" s="381"/>
      <c r="AE48" s="381"/>
      <c r="AF48" s="381"/>
      <c r="AG48" s="381"/>
      <c r="AH48" s="381"/>
      <c r="AI48" s="381"/>
      <c r="AJ48" s="383"/>
    </row>
    <row r="49" spans="1:45" s="98" customFormat="1" x14ac:dyDescent="0.3">
      <c r="A49" s="120"/>
      <c r="B49" s="159" t="s">
        <v>214</v>
      </c>
      <c r="C49" s="102"/>
      <c r="D49" s="103" t="s">
        <v>126</v>
      </c>
      <c r="E49" s="103"/>
      <c r="F49" s="103"/>
      <c r="G49" s="103"/>
      <c r="H49" s="103"/>
      <c r="I49" s="103"/>
      <c r="J49" s="103"/>
      <c r="K49" s="130"/>
      <c r="L49" s="120"/>
      <c r="M49" s="399"/>
      <c r="N49" s="374"/>
      <c r="O49" s="374"/>
      <c r="P49" s="374" t="s">
        <v>276</v>
      </c>
      <c r="Q49" s="374" t="str">
        <f>IF(C54="○",P49,"")</f>
        <v/>
      </c>
      <c r="R49" s="374"/>
      <c r="S49" s="374"/>
      <c r="T49" s="374"/>
      <c r="U49" s="400"/>
      <c r="V49" s="381"/>
      <c r="W49" s="381" t="s">
        <v>254</v>
      </c>
      <c r="X49" s="381" t="s">
        <v>223</v>
      </c>
      <c r="Y49" s="381"/>
      <c r="Z49" s="381"/>
      <c r="AA49" s="381"/>
      <c r="AB49" s="381"/>
      <c r="AC49" s="381"/>
      <c r="AD49" s="381"/>
      <c r="AE49" s="381"/>
      <c r="AF49" s="381"/>
      <c r="AG49" s="381"/>
      <c r="AH49" s="381"/>
      <c r="AI49" s="381"/>
      <c r="AJ49" s="383"/>
      <c r="AL49"/>
      <c r="AM49"/>
      <c r="AN49"/>
      <c r="AO49"/>
      <c r="AP49"/>
      <c r="AQ49"/>
      <c r="AR49"/>
      <c r="AS49"/>
    </row>
    <row r="50" spans="1:45" x14ac:dyDescent="0.3">
      <c r="A50" s="120"/>
      <c r="B50" s="159"/>
      <c r="C50" s="105"/>
      <c r="D50" s="103"/>
      <c r="E50" s="160" t="str">
        <f>IF($C$49="○",IF(P38&lt;&gt;0,"特定大型車",""),"")</f>
        <v/>
      </c>
      <c r="F50" s="109"/>
      <c r="G50" s="103" t="str">
        <f>IF(E50="","","円")</f>
        <v/>
      </c>
      <c r="H50" s="103"/>
      <c r="I50" s="103"/>
      <c r="J50" s="103"/>
      <c r="K50" s="130"/>
      <c r="L50" s="120"/>
      <c r="M50" s="399"/>
      <c r="N50" s="374"/>
      <c r="O50" s="374"/>
      <c r="P50" s="374"/>
      <c r="Q50" s="374"/>
      <c r="R50" s="374"/>
      <c r="S50" s="374"/>
      <c r="T50" s="374"/>
      <c r="U50" s="400"/>
      <c r="V50" s="381"/>
      <c r="W50" s="381"/>
      <c r="X50" s="381" t="str">
        <f>VLOOKUP($X49,名前2!$A$5:$B$8,2,0)</f>
        <v>車種区分③</v>
      </c>
      <c r="Y50" s="381"/>
      <c r="Z50" s="381"/>
      <c r="AA50" s="381"/>
      <c r="AB50" s="381"/>
      <c r="AC50" s="381"/>
      <c r="AD50" s="381"/>
      <c r="AE50" s="381"/>
      <c r="AF50" s="381"/>
      <c r="AG50" s="381"/>
      <c r="AH50" s="381"/>
      <c r="AI50" s="381"/>
      <c r="AJ50" s="383"/>
    </row>
    <row r="51" spans="1:45" x14ac:dyDescent="0.3">
      <c r="A51" s="120"/>
      <c r="B51" s="159"/>
      <c r="C51" s="103"/>
      <c r="D51" s="103"/>
      <c r="E51" s="160" t="str">
        <f>IF($C$49="○",IF(Q38&lt;&gt;0,"大型車",""),"")</f>
        <v/>
      </c>
      <c r="F51" s="109"/>
      <c r="G51" s="103" t="str">
        <f t="shared" ref="G51:G52" si="0">IF(E51="","","円")</f>
        <v/>
      </c>
      <c r="H51" s="161" t="str">
        <f>IF(C49="○","※初乗運賃より高い金額は設定できません。","")</f>
        <v/>
      </c>
      <c r="I51" s="103"/>
      <c r="J51" s="103"/>
      <c r="K51" s="130"/>
      <c r="L51" s="120"/>
      <c r="M51" s="399"/>
      <c r="N51" s="374"/>
      <c r="O51" s="374"/>
      <c r="P51" s="374" t="s">
        <v>342</v>
      </c>
      <c r="Q51" s="374" t="str">
        <f>IF(B43="短縮する",P51,"")</f>
        <v/>
      </c>
      <c r="R51" s="374"/>
      <c r="S51" s="374"/>
      <c r="T51" s="374"/>
      <c r="U51" s="400"/>
      <c r="V51" s="381"/>
      <c r="W51" s="381"/>
      <c r="X51" s="381"/>
      <c r="Y51" s="381"/>
      <c r="Z51" s="381" t="s">
        <v>251</v>
      </c>
      <c r="AA51" s="381"/>
      <c r="AB51" s="381"/>
      <c r="AC51" s="381"/>
      <c r="AD51" s="381"/>
      <c r="AE51" s="381"/>
      <c r="AF51" s="381" t="s">
        <v>252</v>
      </c>
      <c r="AG51" s="381"/>
      <c r="AH51" s="381" t="s">
        <v>271</v>
      </c>
      <c r="AI51" s="381"/>
      <c r="AJ51" s="383"/>
    </row>
    <row r="52" spans="1:45" x14ac:dyDescent="0.3">
      <c r="A52" s="120"/>
      <c r="B52" s="159"/>
      <c r="C52" s="162"/>
      <c r="D52" s="162"/>
      <c r="E52" s="160" t="str">
        <f>IF($C$49="○",IF(R38&lt;&gt;0,IF(VLOOKUP("○",$C$27:$N$37,12,0)="普通車","普通車","中型車"),""),"")</f>
        <v/>
      </c>
      <c r="F52" s="109"/>
      <c r="G52" s="103" t="str">
        <f t="shared" si="0"/>
        <v/>
      </c>
      <c r="H52" s="161"/>
      <c r="I52" s="103"/>
      <c r="J52" s="103"/>
      <c r="K52" s="130"/>
      <c r="L52" s="120"/>
      <c r="M52" s="399"/>
      <c r="N52" s="374"/>
      <c r="O52" s="374"/>
      <c r="P52" s="374" t="s">
        <v>146</v>
      </c>
      <c r="Q52" s="374" t="str">
        <f>IF(B57="設定する",P52,"")</f>
        <v/>
      </c>
      <c r="R52" s="374"/>
      <c r="S52" s="374"/>
      <c r="T52" s="374"/>
      <c r="U52" s="400"/>
      <c r="V52" s="381"/>
      <c r="W52" s="381"/>
      <c r="X52" s="381" t="s">
        <v>108</v>
      </c>
      <c r="Y52" s="381"/>
      <c r="Z52" s="384">
        <v>0.9</v>
      </c>
      <c r="AA52" s="381"/>
      <c r="AB52" s="381"/>
      <c r="AC52" s="381" t="s">
        <v>46</v>
      </c>
      <c r="AD52" s="381" t="s">
        <v>299</v>
      </c>
      <c r="AE52" s="381"/>
      <c r="AF52" s="381">
        <v>60</v>
      </c>
      <c r="AG52" s="381"/>
      <c r="AH52" s="381">
        <v>30</v>
      </c>
      <c r="AI52" s="381"/>
      <c r="AJ52" s="383">
        <f>AF52-AH52</f>
        <v>30</v>
      </c>
    </row>
    <row r="53" spans="1:45" x14ac:dyDescent="0.3">
      <c r="A53" s="120"/>
      <c r="B53" s="159"/>
      <c r="C53" s="162"/>
      <c r="D53" s="162"/>
      <c r="E53" s="160"/>
      <c r="F53" s="114"/>
      <c r="G53" s="103"/>
      <c r="H53" s="161"/>
      <c r="I53" s="103"/>
      <c r="J53" s="103"/>
      <c r="K53" s="130"/>
      <c r="L53" s="120"/>
      <c r="M53" s="399"/>
      <c r="N53" s="374"/>
      <c r="O53" s="374"/>
      <c r="P53" s="374" t="s">
        <v>145</v>
      </c>
      <c r="Q53" s="374" t="str">
        <f>IF(B58="設定する",P53,"")</f>
        <v/>
      </c>
      <c r="R53" s="374"/>
      <c r="S53" s="374"/>
      <c r="T53" s="374"/>
      <c r="U53" s="400"/>
      <c r="V53" s="381" t="s">
        <v>409</v>
      </c>
      <c r="W53" s="381" t="s">
        <v>253</v>
      </c>
      <c r="X53" s="381" t="s">
        <v>268</v>
      </c>
      <c r="Y53" s="381" t="s">
        <v>414</v>
      </c>
      <c r="Z53" s="381" t="s">
        <v>418</v>
      </c>
      <c r="AA53" s="381"/>
      <c r="AB53" s="381" t="s">
        <v>253</v>
      </c>
      <c r="AC53" s="381" t="s">
        <v>268</v>
      </c>
      <c r="AD53" s="381" t="s">
        <v>480</v>
      </c>
      <c r="AE53" s="381" t="s">
        <v>422</v>
      </c>
      <c r="AF53" s="381"/>
      <c r="AG53" s="381"/>
      <c r="AH53" s="381"/>
      <c r="AI53" s="381"/>
      <c r="AJ53" s="383"/>
    </row>
    <row r="54" spans="1:45" ht="15.6" thickBot="1" x14ac:dyDescent="0.35">
      <c r="A54" s="120"/>
      <c r="B54" s="137" t="s">
        <v>215</v>
      </c>
      <c r="C54" s="101"/>
      <c r="D54" s="132" t="s">
        <v>49</v>
      </c>
      <c r="E54" s="132"/>
      <c r="F54" s="132"/>
      <c r="G54" s="132"/>
      <c r="H54" s="132"/>
      <c r="I54" s="132"/>
      <c r="J54" s="132"/>
      <c r="K54" s="135"/>
      <c r="L54" s="120"/>
      <c r="M54" s="399"/>
      <c r="N54" s="374"/>
      <c r="O54" s="374"/>
      <c r="P54" s="374" t="s">
        <v>144</v>
      </c>
      <c r="Q54" s="374" t="str">
        <f>IF(B59="設定する",P54,"")</f>
        <v/>
      </c>
      <c r="R54" s="374"/>
      <c r="S54" s="374"/>
      <c r="T54" s="374"/>
      <c r="U54" s="400"/>
      <c r="V54" s="381"/>
      <c r="W54" s="381" t="s">
        <v>253</v>
      </c>
      <c r="X54" s="381" t="s">
        <v>167</v>
      </c>
      <c r="Y54" s="381" t="s">
        <v>415</v>
      </c>
      <c r="Z54" s="381" t="s">
        <v>417</v>
      </c>
      <c r="AA54" s="381"/>
      <c r="AB54" s="381" t="s">
        <v>253</v>
      </c>
      <c r="AC54" s="381" t="s">
        <v>167</v>
      </c>
      <c r="AD54" s="381" t="s">
        <v>420</v>
      </c>
      <c r="AE54" s="381" t="s">
        <v>423</v>
      </c>
      <c r="AF54" s="381"/>
      <c r="AG54" s="381"/>
      <c r="AH54" s="381"/>
      <c r="AI54" s="381"/>
      <c r="AJ54" s="383"/>
    </row>
    <row r="55" spans="1:45" ht="15.6" thickBot="1" x14ac:dyDescent="0.35">
      <c r="A55" s="120"/>
      <c r="B55" s="120"/>
      <c r="C55" s="120"/>
      <c r="D55" s="120"/>
      <c r="E55" s="120"/>
      <c r="F55" s="120"/>
      <c r="G55" s="120"/>
      <c r="H55" s="120"/>
      <c r="I55" s="120"/>
      <c r="J55" s="120"/>
      <c r="K55" s="120"/>
      <c r="L55" s="120"/>
      <c r="M55" s="399"/>
      <c r="N55" s="374"/>
      <c r="O55" s="374"/>
      <c r="P55" s="374">
        <v>91</v>
      </c>
      <c r="Q55" s="374" t="str">
        <f>IF(B60="設定する",P55,"")</f>
        <v/>
      </c>
      <c r="R55" s="374"/>
      <c r="S55" s="374"/>
      <c r="T55" s="374"/>
      <c r="U55" s="400"/>
      <c r="V55" s="381"/>
      <c r="W55" s="381" t="s">
        <v>253</v>
      </c>
      <c r="X55" s="381" t="s">
        <v>118</v>
      </c>
      <c r="Y55" s="381" t="s">
        <v>416</v>
      </c>
      <c r="Z55" s="381" t="s">
        <v>419</v>
      </c>
      <c r="AA55" s="381"/>
      <c r="AB55" s="381" t="s">
        <v>253</v>
      </c>
      <c r="AC55" s="381" t="s">
        <v>118</v>
      </c>
      <c r="AD55" s="381" t="s">
        <v>421</v>
      </c>
      <c r="AE55" s="381" t="s">
        <v>424</v>
      </c>
      <c r="AF55" s="381"/>
      <c r="AG55" s="381"/>
      <c r="AH55" s="381"/>
      <c r="AI55" s="381"/>
      <c r="AJ55" s="383"/>
    </row>
    <row r="56" spans="1:45" ht="15.6" thickBot="1" x14ac:dyDescent="0.35">
      <c r="A56" s="120"/>
      <c r="B56" s="121" t="s">
        <v>132</v>
      </c>
      <c r="C56" s="122"/>
      <c r="D56" s="122"/>
      <c r="E56" s="122"/>
      <c r="F56" s="122"/>
      <c r="G56" s="122"/>
      <c r="H56" s="122"/>
      <c r="I56" s="460" t="str">
        <f>IF(COUNTA(B57:B60)=4,"入力完了","入力内容を確認してください")</f>
        <v>入力内容を確認してください</v>
      </c>
      <c r="J56" s="461"/>
      <c r="K56" s="462"/>
      <c r="L56" s="120"/>
      <c r="M56" s="399"/>
      <c r="N56" s="374"/>
      <c r="O56" s="374"/>
      <c r="P56" s="374"/>
      <c r="Q56" s="374" t="str">
        <f>IF(C61="○",P56,"")</f>
        <v/>
      </c>
      <c r="R56" s="374"/>
      <c r="S56" s="374"/>
      <c r="T56" s="374"/>
      <c r="U56" s="400"/>
      <c r="V56" s="381"/>
      <c r="W56" s="381" t="s">
        <v>253</v>
      </c>
      <c r="X56" s="381"/>
      <c r="Y56" s="381"/>
      <c r="Z56" s="381"/>
      <c r="AA56" s="381"/>
      <c r="AB56" s="381" t="s">
        <v>253</v>
      </c>
      <c r="AC56" s="381"/>
      <c r="AD56" s="381"/>
      <c r="AE56" s="381"/>
      <c r="AF56" s="381"/>
      <c r="AG56" s="381"/>
      <c r="AH56" s="381"/>
      <c r="AI56" s="381"/>
      <c r="AJ56" s="383"/>
    </row>
    <row r="57" spans="1:45" x14ac:dyDescent="0.3">
      <c r="A57" s="120">
        <v>8</v>
      </c>
      <c r="B57" s="465"/>
      <c r="C57" s="466"/>
      <c r="D57" s="476" t="s">
        <v>344</v>
      </c>
      <c r="E57" s="476"/>
      <c r="F57" s="476"/>
      <c r="G57" s="476"/>
      <c r="H57" s="476"/>
      <c r="I57" s="476"/>
      <c r="J57" s="476"/>
      <c r="K57" s="275" t="s">
        <v>345</v>
      </c>
      <c r="L57" s="120"/>
      <c r="M57" s="399"/>
      <c r="N57" s="374"/>
      <c r="O57" s="374"/>
      <c r="P57" s="374"/>
      <c r="Q57" s="374" t="str">
        <f>IF(C62="○",P57,"")</f>
        <v/>
      </c>
      <c r="R57" s="374"/>
      <c r="S57" s="374"/>
      <c r="T57" s="374"/>
      <c r="U57" s="400"/>
      <c r="V57" s="381"/>
      <c r="W57" s="381" t="s">
        <v>254</v>
      </c>
      <c r="X57" s="381" t="s">
        <v>220</v>
      </c>
      <c r="Y57" s="381"/>
      <c r="Z57" s="381"/>
      <c r="AA57" s="381"/>
      <c r="AB57" s="381"/>
      <c r="AC57" s="381"/>
      <c r="AD57" s="381"/>
      <c r="AE57" s="381"/>
      <c r="AF57" s="381"/>
      <c r="AG57" s="381"/>
      <c r="AH57" s="381"/>
      <c r="AI57" s="381"/>
      <c r="AJ57" s="383"/>
    </row>
    <row r="58" spans="1:45" ht="15.75" customHeight="1" x14ac:dyDescent="0.3">
      <c r="A58" s="120"/>
      <c r="B58" s="474"/>
      <c r="C58" s="475"/>
      <c r="D58" s="477" t="s">
        <v>326</v>
      </c>
      <c r="E58" s="477"/>
      <c r="F58" s="477"/>
      <c r="G58" s="477"/>
      <c r="H58" s="477"/>
      <c r="I58" s="477"/>
      <c r="J58" s="477"/>
      <c r="K58" s="130"/>
      <c r="L58" s="120"/>
      <c r="M58" s="399"/>
      <c r="N58" s="374"/>
      <c r="O58" s="374"/>
      <c r="P58" s="374" t="s">
        <v>147</v>
      </c>
      <c r="Q58" s="374" t="str">
        <f>IF(B63="設定する",P58,"")</f>
        <v/>
      </c>
      <c r="R58" s="374"/>
      <c r="S58" s="374"/>
      <c r="T58" s="374"/>
      <c r="U58" s="400"/>
      <c r="V58" s="381"/>
      <c r="W58" s="381"/>
      <c r="X58" s="381" t="str">
        <f>VLOOKUP($X57,名前2!$A$5:$B$8,2,0)</f>
        <v>車種区分②</v>
      </c>
      <c r="Y58" s="381"/>
      <c r="Z58" s="381"/>
      <c r="AA58" s="381"/>
      <c r="AB58" s="381"/>
      <c r="AC58" s="381"/>
      <c r="AD58" s="381"/>
      <c r="AE58" s="381"/>
      <c r="AF58" s="381"/>
      <c r="AG58" s="381"/>
      <c r="AH58" s="381"/>
      <c r="AI58" s="381"/>
      <c r="AJ58" s="383"/>
    </row>
    <row r="59" spans="1:45" x14ac:dyDescent="0.3">
      <c r="A59" s="120"/>
      <c r="B59" s="474"/>
      <c r="C59" s="475"/>
      <c r="D59" s="477" t="s">
        <v>325</v>
      </c>
      <c r="E59" s="477"/>
      <c r="F59" s="477"/>
      <c r="G59" s="477"/>
      <c r="H59" s="477"/>
      <c r="I59" s="477"/>
      <c r="J59" s="477"/>
      <c r="K59" s="130"/>
      <c r="L59" s="120"/>
      <c r="M59" s="399"/>
      <c r="N59" s="374"/>
      <c r="O59" s="374"/>
      <c r="P59" s="374"/>
      <c r="Q59" s="374" t="str">
        <f>IF(C64="○",P59,"")</f>
        <v/>
      </c>
      <c r="R59" s="374"/>
      <c r="S59" s="374"/>
      <c r="T59" s="374"/>
      <c r="U59" s="400"/>
      <c r="V59" s="381"/>
      <c r="W59" s="381"/>
      <c r="X59" s="381"/>
      <c r="Y59" s="381"/>
      <c r="Z59" s="381" t="s">
        <v>251</v>
      </c>
      <c r="AA59" s="381"/>
      <c r="AB59" s="381"/>
      <c r="AC59" s="381"/>
      <c r="AD59" s="381"/>
      <c r="AE59" s="381"/>
      <c r="AF59" s="381" t="s">
        <v>252</v>
      </c>
      <c r="AG59" s="381"/>
      <c r="AH59" s="381" t="s">
        <v>271</v>
      </c>
      <c r="AI59" s="381"/>
      <c r="AJ59" s="383"/>
    </row>
    <row r="60" spans="1:45" ht="15.6" thickBot="1" x14ac:dyDescent="0.35">
      <c r="A60" s="120"/>
      <c r="B60" s="467"/>
      <c r="C60" s="468"/>
      <c r="D60" s="490" t="s">
        <v>65</v>
      </c>
      <c r="E60" s="490"/>
      <c r="F60" s="490"/>
      <c r="G60" s="490"/>
      <c r="H60" s="490"/>
      <c r="I60" s="490"/>
      <c r="J60" s="490"/>
      <c r="K60" s="135"/>
      <c r="L60" s="120"/>
      <c r="M60" s="399"/>
      <c r="N60" s="374"/>
      <c r="O60" s="374"/>
      <c r="P60" s="374" t="s">
        <v>148</v>
      </c>
      <c r="Q60" s="374" t="str">
        <f>IF(C65="○",P60,"")</f>
        <v/>
      </c>
      <c r="R60" s="374"/>
      <c r="S60" s="374"/>
      <c r="T60" s="374"/>
      <c r="U60" s="400"/>
      <c r="V60" s="381"/>
      <c r="W60" s="381"/>
      <c r="X60" s="381" t="s">
        <v>108</v>
      </c>
      <c r="Y60" s="381"/>
      <c r="Z60" s="382">
        <v>1.2</v>
      </c>
      <c r="AA60" s="381"/>
      <c r="AB60" s="381"/>
      <c r="AC60" s="381" t="s">
        <v>46</v>
      </c>
      <c r="AD60" s="381"/>
      <c r="AE60" s="381"/>
      <c r="AF60" s="381">
        <v>30</v>
      </c>
      <c r="AG60" s="381"/>
      <c r="AH60" s="381">
        <v>30</v>
      </c>
      <c r="AI60" s="381"/>
      <c r="AJ60" s="383">
        <f>AF60-AH60</f>
        <v>0</v>
      </c>
    </row>
    <row r="61" spans="1:45" ht="15.6" thickBot="1" x14ac:dyDescent="0.35">
      <c r="A61" s="120"/>
      <c r="B61" s="120"/>
      <c r="C61" s="120"/>
      <c r="D61" s="120"/>
      <c r="E61" s="120"/>
      <c r="F61" s="120"/>
      <c r="G61" s="120"/>
      <c r="H61" s="120"/>
      <c r="I61" s="120"/>
      <c r="J61" s="120"/>
      <c r="K61" s="120"/>
      <c r="L61" s="120"/>
      <c r="M61" s="399"/>
      <c r="N61" s="374">
        <f>IF(COUNTA(G66:G67,I66:I67)&gt;0,COUNTA(G66:G67,I66:I67)-4,0)</f>
        <v>0</v>
      </c>
      <c r="O61" s="374"/>
      <c r="P61" s="374"/>
      <c r="Q61" s="374"/>
      <c r="R61" s="374"/>
      <c r="S61" s="374"/>
      <c r="T61" s="374"/>
      <c r="U61" s="400"/>
      <c r="V61" s="381" t="s">
        <v>482</v>
      </c>
      <c r="W61" s="381" t="s">
        <v>253</v>
      </c>
      <c r="X61" s="381" t="s">
        <v>268</v>
      </c>
      <c r="Y61" s="381" t="s">
        <v>489</v>
      </c>
      <c r="Z61" s="381" t="s">
        <v>491</v>
      </c>
      <c r="AA61" s="381"/>
      <c r="AB61" s="381" t="s">
        <v>253</v>
      </c>
      <c r="AC61" s="381" t="s">
        <v>268</v>
      </c>
      <c r="AD61" s="381" t="s">
        <v>490</v>
      </c>
      <c r="AE61" s="381" t="s">
        <v>492</v>
      </c>
      <c r="AF61" s="381"/>
      <c r="AG61" s="381"/>
      <c r="AH61" s="381"/>
      <c r="AI61" s="381"/>
      <c r="AJ61" s="383"/>
    </row>
    <row r="62" spans="1:45" ht="15.6" thickBot="1" x14ac:dyDescent="0.35">
      <c r="A62" s="120"/>
      <c r="B62" s="121" t="s">
        <v>243</v>
      </c>
      <c r="C62" s="122"/>
      <c r="D62" s="163"/>
      <c r="E62" s="122"/>
      <c r="F62" s="122"/>
      <c r="G62" s="122"/>
      <c r="H62" s="122"/>
      <c r="I62" s="460" t="str">
        <f>IF(COUNTA(B63)=1,"入力完了","入力内容を確認してください")</f>
        <v>入力内容を確認してください</v>
      </c>
      <c r="J62" s="461"/>
      <c r="K62" s="462"/>
      <c r="L62" s="120"/>
      <c r="M62" s="399"/>
      <c r="N62" s="374"/>
      <c r="O62" s="374"/>
      <c r="P62" s="374"/>
      <c r="Q62" s="374"/>
      <c r="R62" s="374"/>
      <c r="S62" s="374"/>
      <c r="T62" s="374"/>
      <c r="U62" s="400"/>
      <c r="V62" s="381"/>
      <c r="W62" s="381" t="s">
        <v>253</v>
      </c>
      <c r="X62" s="381" t="s">
        <v>167</v>
      </c>
      <c r="Y62" s="381" t="s">
        <v>493</v>
      </c>
      <c r="Z62" s="381" t="s">
        <v>497</v>
      </c>
      <c r="AA62" s="381"/>
      <c r="AB62" s="381" t="s">
        <v>253</v>
      </c>
      <c r="AC62" s="381" t="s">
        <v>167</v>
      </c>
      <c r="AD62" s="381" t="s">
        <v>495</v>
      </c>
      <c r="AE62" s="381" t="s">
        <v>498</v>
      </c>
      <c r="AF62" s="381"/>
      <c r="AG62" s="381"/>
      <c r="AH62" s="381"/>
      <c r="AI62" s="381"/>
      <c r="AJ62" s="383"/>
    </row>
    <row r="63" spans="1:45" ht="15.6" thickBot="1" x14ac:dyDescent="0.35">
      <c r="A63" s="120">
        <v>9</v>
      </c>
      <c r="B63" s="465"/>
      <c r="C63" s="466"/>
      <c r="D63" s="463" t="s">
        <v>341</v>
      </c>
      <c r="E63" s="463"/>
      <c r="F63" s="463"/>
      <c r="G63" s="463"/>
      <c r="H63" s="463"/>
      <c r="I63" s="463"/>
      <c r="J63" s="463"/>
      <c r="K63" s="464"/>
      <c r="L63" s="120"/>
      <c r="M63" s="399">
        <f>COUNTA(G66:G73,I66:I73)</f>
        <v>0</v>
      </c>
      <c r="N63" s="374">
        <f>IF(COUNTA(G68:G69,I68:I69)&gt;0,COUNTA(G68:G69,I68:I69)-4,0)</f>
        <v>0</v>
      </c>
      <c r="O63" s="374"/>
      <c r="P63" s="374">
        <f>MAX(G66,G68,G70,G72)</f>
        <v>0</v>
      </c>
      <c r="Q63" s="374"/>
      <c r="R63" s="374"/>
      <c r="S63" s="374"/>
      <c r="T63" s="374"/>
      <c r="U63" s="400"/>
      <c r="V63" s="381"/>
      <c r="W63" s="381" t="s">
        <v>253</v>
      </c>
      <c r="X63" s="381" t="s">
        <v>118</v>
      </c>
      <c r="Y63" s="381" t="s">
        <v>494</v>
      </c>
      <c r="Z63" s="381" t="s">
        <v>499</v>
      </c>
      <c r="AA63" s="381"/>
      <c r="AB63" s="381" t="s">
        <v>253</v>
      </c>
      <c r="AC63" s="381" t="s">
        <v>118</v>
      </c>
      <c r="AD63" s="381" t="s">
        <v>496</v>
      </c>
      <c r="AE63" s="381" t="s">
        <v>500</v>
      </c>
      <c r="AF63" s="381"/>
      <c r="AG63" s="381"/>
      <c r="AH63" s="381"/>
      <c r="AI63" s="381"/>
      <c r="AJ63" s="383"/>
    </row>
    <row r="64" spans="1:45" ht="15.6" thickBot="1" x14ac:dyDescent="0.35">
      <c r="A64" s="120"/>
      <c r="B64" s="164" t="s">
        <v>244</v>
      </c>
      <c r="C64" s="122" t="s">
        <v>340</v>
      </c>
      <c r="D64" s="165"/>
      <c r="E64" s="122"/>
      <c r="F64" s="122"/>
      <c r="G64" s="122"/>
      <c r="H64" s="122"/>
      <c r="I64" s="460" t="str">
        <f>IF(B63="設定する",IF(COUNTA(C65,C74,C79)=1,"入力完了","入力内容を確認してください"),"")</f>
        <v/>
      </c>
      <c r="J64" s="461"/>
      <c r="K64" s="462"/>
      <c r="L64" s="118"/>
      <c r="M64" s="399"/>
      <c r="N64" s="374"/>
      <c r="O64" s="374"/>
      <c r="P64" s="374">
        <f>MAX(G69,G71,G73,G67)</f>
        <v>0</v>
      </c>
      <c r="Q64" s="374"/>
      <c r="R64" s="374"/>
      <c r="S64" s="374"/>
      <c r="T64" s="374"/>
      <c r="U64" s="400"/>
      <c r="V64" s="381"/>
      <c r="W64" s="381" t="s">
        <v>253</v>
      </c>
      <c r="X64" s="381"/>
      <c r="Y64" s="381"/>
      <c r="Z64" s="381"/>
      <c r="AA64" s="381"/>
      <c r="AB64" s="381"/>
      <c r="AC64" s="381"/>
      <c r="AD64" s="381"/>
      <c r="AE64" s="381"/>
      <c r="AF64" s="381"/>
      <c r="AG64" s="381"/>
      <c r="AH64" s="381"/>
      <c r="AI64" s="381"/>
      <c r="AJ64" s="383"/>
    </row>
    <row r="65" spans="1:45" s="98" customFormat="1" ht="15.6" thickBot="1" x14ac:dyDescent="0.35">
      <c r="A65" s="120"/>
      <c r="B65" s="136" t="s">
        <v>217</v>
      </c>
      <c r="C65" s="104"/>
      <c r="D65" s="125" t="s">
        <v>108</v>
      </c>
      <c r="E65" s="166"/>
      <c r="F65" s="166"/>
      <c r="G65" s="166"/>
      <c r="H65" s="166"/>
      <c r="I65" s="460" t="str">
        <f>IF($C$65="○",IF(M63=0,"入力内容を確認してください",IF(M65&lt;0,"入力内容を確認してください","入力完了")),"")</f>
        <v/>
      </c>
      <c r="J65" s="461"/>
      <c r="K65" s="462"/>
      <c r="L65" s="118"/>
      <c r="M65" s="399">
        <f>MIN(N61:N67)</f>
        <v>0</v>
      </c>
      <c r="N65" s="374">
        <f>IF(COUNTA(G70:G71,I70:I71)&gt;0,COUNTA(G70:G71,I70:I71)-4,0)</f>
        <v>0</v>
      </c>
      <c r="O65" s="374"/>
      <c r="P65" s="374"/>
      <c r="Q65" s="374"/>
      <c r="R65" s="374"/>
      <c r="S65" s="374"/>
      <c r="T65" s="374"/>
      <c r="U65" s="400"/>
      <c r="V65" s="381"/>
      <c r="W65" s="381" t="s">
        <v>254</v>
      </c>
      <c r="X65" s="381" t="s">
        <v>223</v>
      </c>
      <c r="Y65" s="381"/>
      <c r="Z65" s="381"/>
      <c r="AA65" s="381"/>
      <c r="AB65" s="381"/>
      <c r="AC65" s="381"/>
      <c r="AD65" s="381"/>
      <c r="AE65" s="381"/>
      <c r="AF65" s="381"/>
      <c r="AG65" s="381"/>
      <c r="AH65" s="381"/>
      <c r="AI65" s="381"/>
      <c r="AJ65" s="383"/>
      <c r="AL65"/>
      <c r="AM65"/>
      <c r="AN65"/>
      <c r="AO65"/>
      <c r="AP65"/>
      <c r="AQ65"/>
      <c r="AR65"/>
      <c r="AS65"/>
    </row>
    <row r="66" spans="1:45" s="98" customFormat="1" x14ac:dyDescent="0.3">
      <c r="A66" s="120"/>
      <c r="B66" s="159"/>
      <c r="C66" s="103"/>
      <c r="D66" s="103"/>
      <c r="E66" s="167" t="str">
        <f ca="1">IF($U$38&lt;&gt;0,"特定大型車","")</f>
        <v/>
      </c>
      <c r="F66" s="116" t="str">
        <f ca="1">IF($E$66="","","初乗運賃")</f>
        <v/>
      </c>
      <c r="G66" s="459"/>
      <c r="H66" s="116" t="str">
        <f ca="1">IF($E$66="","","キロメートルまで")</f>
        <v/>
      </c>
      <c r="I66" s="162"/>
      <c r="J66" s="116" t="str">
        <f ca="1">IF($E$66="","","円")</f>
        <v/>
      </c>
      <c r="K66" s="168"/>
      <c r="L66" s="118"/>
      <c r="M66" s="399"/>
      <c r="N66" s="374"/>
      <c r="O66" s="374"/>
      <c r="P66" s="374"/>
      <c r="Q66" s="374"/>
      <c r="R66" s="374"/>
      <c r="S66" s="374"/>
      <c r="T66" s="374"/>
      <c r="U66" s="400"/>
      <c r="V66" s="381"/>
      <c r="W66" s="381"/>
      <c r="X66" s="381" t="str">
        <f>VLOOKUP($X65,名前2!$A$5:$B$8,2,0)</f>
        <v>車種区分③</v>
      </c>
      <c r="Y66" s="381"/>
      <c r="Z66" s="381"/>
      <c r="AA66" s="381"/>
      <c r="AB66" s="381"/>
      <c r="AC66" s="381"/>
      <c r="AD66" s="381"/>
      <c r="AE66" s="381"/>
      <c r="AF66" s="381"/>
      <c r="AG66" s="381"/>
      <c r="AH66" s="381"/>
      <c r="AI66" s="381"/>
      <c r="AJ66" s="383"/>
      <c r="AL66"/>
      <c r="AM66"/>
      <c r="AN66"/>
      <c r="AO66"/>
      <c r="AP66"/>
      <c r="AQ66"/>
      <c r="AR66"/>
      <c r="AS66"/>
    </row>
    <row r="67" spans="1:45" x14ac:dyDescent="0.3">
      <c r="A67" s="120"/>
      <c r="B67" s="159"/>
      <c r="C67" s="103"/>
      <c r="D67" s="103"/>
      <c r="E67" s="114"/>
      <c r="F67" s="116" t="str">
        <f ca="1">IF($E$66="","","加算運賃")</f>
        <v/>
      </c>
      <c r="G67" s="459"/>
      <c r="H67" s="116" t="str">
        <f ca="1">IF($E$66="","","メートルまでごとに")</f>
        <v/>
      </c>
      <c r="I67" s="162"/>
      <c r="J67" s="116" t="str">
        <f ca="1">IF($E$66="","","円")</f>
        <v/>
      </c>
      <c r="K67" s="168"/>
      <c r="L67" s="103"/>
      <c r="M67" s="399"/>
      <c r="N67" s="374">
        <f>IF(COUNTA(G72:G73,I72:I73)&gt;0,COUNTA(G72:G73,I72:I73)-4,0)</f>
        <v>0</v>
      </c>
      <c r="O67" s="374"/>
      <c r="P67" s="374"/>
      <c r="Q67" s="374"/>
      <c r="R67" s="374"/>
      <c r="S67" s="374"/>
      <c r="T67" s="374"/>
      <c r="U67" s="400"/>
      <c r="V67" s="381"/>
      <c r="W67" s="381"/>
      <c r="X67" s="381"/>
      <c r="Y67" s="381"/>
      <c r="Z67" s="381"/>
      <c r="AA67" s="381"/>
      <c r="AB67" s="381"/>
      <c r="AC67" s="381"/>
      <c r="AD67" s="381"/>
      <c r="AE67" s="381"/>
      <c r="AF67" s="381"/>
      <c r="AG67" s="381"/>
      <c r="AH67" s="381"/>
      <c r="AI67" s="381"/>
      <c r="AJ67" s="383"/>
    </row>
    <row r="68" spans="1:45" x14ac:dyDescent="0.3">
      <c r="A68" s="120"/>
      <c r="B68" s="159"/>
      <c r="C68" s="103"/>
      <c r="D68" s="103"/>
      <c r="E68" s="169" t="s">
        <v>117</v>
      </c>
      <c r="F68" s="116" t="s">
        <v>119</v>
      </c>
      <c r="G68" s="114"/>
      <c r="H68" s="114" t="s">
        <v>122</v>
      </c>
      <c r="I68" s="114"/>
      <c r="J68" s="116" t="s">
        <v>121</v>
      </c>
      <c r="K68" s="130"/>
      <c r="L68" s="103"/>
      <c r="M68" s="399"/>
      <c r="N68" s="374"/>
      <c r="O68" s="374"/>
      <c r="P68" s="374"/>
      <c r="Q68" s="374"/>
      <c r="R68" s="374"/>
      <c r="S68" s="374"/>
      <c r="T68" s="374"/>
      <c r="U68" s="400"/>
      <c r="V68" s="381"/>
      <c r="W68" s="381"/>
      <c r="X68" s="381"/>
      <c r="Y68" s="381"/>
      <c r="Z68" s="382"/>
      <c r="AA68" s="381"/>
      <c r="AB68" s="381"/>
      <c r="AC68" s="381"/>
      <c r="AD68" s="381"/>
      <c r="AE68" s="381"/>
      <c r="AF68" s="381"/>
      <c r="AG68" s="381"/>
      <c r="AH68" s="381"/>
      <c r="AI68" s="381"/>
      <c r="AJ68" s="383"/>
    </row>
    <row r="69" spans="1:45" x14ac:dyDescent="0.3">
      <c r="A69" s="120"/>
      <c r="B69" s="159"/>
      <c r="C69" s="103"/>
      <c r="D69" s="103"/>
      <c r="E69" s="169"/>
      <c r="F69" s="116" t="s">
        <v>120</v>
      </c>
      <c r="G69" s="114"/>
      <c r="H69" s="114" t="s">
        <v>125</v>
      </c>
      <c r="I69" s="114"/>
      <c r="J69" s="116" t="s">
        <v>121</v>
      </c>
      <c r="K69" s="130"/>
      <c r="L69" s="103"/>
      <c r="M69" s="399"/>
      <c r="N69" s="374"/>
      <c r="O69" s="374"/>
      <c r="P69" s="374" t="s">
        <v>149</v>
      </c>
      <c r="Q69" s="374" t="str">
        <f>IF(C74="○",P69,"")</f>
        <v/>
      </c>
      <c r="R69" s="374"/>
      <c r="S69" s="374"/>
      <c r="T69" s="374"/>
      <c r="U69" s="400"/>
      <c r="V69" s="381"/>
      <c r="W69" s="381"/>
      <c r="X69" s="381"/>
      <c r="Y69" s="381"/>
      <c r="Z69" s="381"/>
      <c r="AA69" s="381"/>
      <c r="AB69" s="381"/>
      <c r="AC69" s="381"/>
      <c r="AD69" s="381"/>
      <c r="AE69" s="381"/>
      <c r="AF69" s="381"/>
      <c r="AG69" s="381"/>
      <c r="AH69" s="381"/>
      <c r="AI69" s="381"/>
      <c r="AJ69" s="383"/>
    </row>
    <row r="70" spans="1:45" x14ac:dyDescent="0.3">
      <c r="A70" s="120"/>
      <c r="B70" s="159"/>
      <c r="C70" s="103"/>
      <c r="D70" s="103"/>
      <c r="E70" s="169" t="e">
        <f>IF(VLOOKUP("○",$C$27:$N$37,12,0)="普通車","普通車","中型車")</f>
        <v>#N/A</v>
      </c>
      <c r="F70" s="116" t="s">
        <v>119</v>
      </c>
      <c r="G70" s="114"/>
      <c r="H70" s="114" t="s">
        <v>122</v>
      </c>
      <c r="I70" s="114"/>
      <c r="J70" s="116" t="s">
        <v>121</v>
      </c>
      <c r="K70" s="130"/>
      <c r="L70" s="103"/>
      <c r="M70" s="399"/>
      <c r="N70" s="374"/>
      <c r="O70" s="374"/>
      <c r="P70" s="374"/>
      <c r="Q70" s="374"/>
      <c r="R70" s="374"/>
      <c r="S70" s="374"/>
      <c r="T70" s="374"/>
      <c r="U70" s="400"/>
      <c r="V70" s="381"/>
      <c r="W70" s="381"/>
      <c r="X70" s="381"/>
      <c r="Y70" s="381"/>
      <c r="Z70" s="381"/>
      <c r="AA70" s="381"/>
      <c r="AB70" s="381"/>
      <c r="AC70" s="381"/>
      <c r="AD70" s="381"/>
      <c r="AE70" s="381"/>
      <c r="AF70" s="381"/>
      <c r="AG70" s="381"/>
      <c r="AH70" s="381"/>
      <c r="AI70" s="381"/>
      <c r="AJ70" s="383"/>
    </row>
    <row r="71" spans="1:45" x14ac:dyDescent="0.3">
      <c r="A71" s="120"/>
      <c r="B71" s="159"/>
      <c r="C71" s="103"/>
      <c r="D71" s="103"/>
      <c r="E71" s="116"/>
      <c r="F71" s="116" t="s">
        <v>120</v>
      </c>
      <c r="G71" s="114"/>
      <c r="H71" s="114" t="s">
        <v>125</v>
      </c>
      <c r="I71" s="114"/>
      <c r="J71" s="116" t="s">
        <v>121</v>
      </c>
      <c r="K71" s="130"/>
      <c r="L71" s="103"/>
      <c r="M71" s="399">
        <f>COUNTA(G75:G78,I75:I78)</f>
        <v>0</v>
      </c>
      <c r="N71" s="374"/>
      <c r="O71" s="374"/>
      <c r="P71" s="374"/>
      <c r="Q71" s="374"/>
      <c r="R71" s="374"/>
      <c r="S71" s="374"/>
      <c r="T71" s="374"/>
      <c r="U71" s="400"/>
      <c r="V71" s="381"/>
      <c r="W71" s="381"/>
      <c r="X71" s="381"/>
      <c r="Y71" s="381"/>
      <c r="Z71" s="381"/>
      <c r="AA71" s="381"/>
      <c r="AB71" s="381"/>
      <c r="AC71" s="381"/>
      <c r="AD71" s="381"/>
      <c r="AE71" s="381"/>
      <c r="AF71" s="381"/>
      <c r="AG71" s="381"/>
      <c r="AH71" s="381"/>
      <c r="AI71" s="381"/>
      <c r="AJ71" s="383"/>
    </row>
    <row r="72" spans="1:45" x14ac:dyDescent="0.3">
      <c r="A72" s="120"/>
      <c r="B72" s="159"/>
      <c r="C72" s="103"/>
      <c r="D72" s="103"/>
      <c r="E72" s="445"/>
      <c r="F72" s="114"/>
      <c r="G72" s="114"/>
      <c r="H72" s="114"/>
      <c r="I72" s="114"/>
      <c r="J72" s="114"/>
      <c r="K72" s="130"/>
      <c r="L72" s="103"/>
      <c r="M72" s="399">
        <f>COUNTA(G75:G78)-COUNTA(I75:I78)</f>
        <v>0</v>
      </c>
      <c r="N72" s="374"/>
      <c r="O72" s="374"/>
      <c r="P72" s="374"/>
      <c r="Q72" s="374"/>
      <c r="R72" s="374"/>
      <c r="S72" s="374"/>
      <c r="T72" s="374"/>
      <c r="U72" s="400"/>
      <c r="V72" s="381"/>
      <c r="W72" s="381"/>
      <c r="X72" s="381"/>
      <c r="Y72" s="381"/>
      <c r="Z72" s="381"/>
      <c r="AA72" s="381"/>
      <c r="AB72" s="381"/>
      <c r="AC72" s="381"/>
      <c r="AD72" s="381"/>
      <c r="AE72" s="381"/>
      <c r="AF72" s="381"/>
      <c r="AG72" s="381"/>
      <c r="AH72" s="381"/>
      <c r="AI72" s="381"/>
      <c r="AJ72" s="383"/>
    </row>
    <row r="73" spans="1:45" ht="15.6" thickBot="1" x14ac:dyDescent="0.35">
      <c r="A73" s="120"/>
      <c r="B73" s="137"/>
      <c r="C73" s="132"/>
      <c r="D73" s="132"/>
      <c r="E73" s="115"/>
      <c r="F73" s="115"/>
      <c r="G73" s="115"/>
      <c r="H73" s="115"/>
      <c r="I73" s="115"/>
      <c r="J73" s="115"/>
      <c r="K73" s="135"/>
      <c r="L73" s="103"/>
      <c r="M73" s="399"/>
      <c r="N73" s="374"/>
      <c r="O73" s="374"/>
      <c r="P73" s="374"/>
      <c r="Q73" s="374"/>
      <c r="R73" s="374"/>
      <c r="S73" s="374"/>
      <c r="T73" s="374"/>
      <c r="U73" s="400"/>
      <c r="V73" s="381"/>
      <c r="W73" s="381"/>
      <c r="X73" s="381"/>
      <c r="Y73" s="381"/>
      <c r="Z73" s="381"/>
      <c r="AA73" s="381"/>
      <c r="AB73" s="381"/>
      <c r="AC73" s="381"/>
      <c r="AD73" s="381"/>
      <c r="AE73" s="381"/>
      <c r="AF73" s="381"/>
      <c r="AG73" s="381"/>
      <c r="AH73" s="381"/>
      <c r="AI73" s="381"/>
      <c r="AJ73" s="383"/>
    </row>
    <row r="74" spans="1:45" s="98" customFormat="1" ht="15.6" thickBot="1" x14ac:dyDescent="0.35">
      <c r="A74" s="120"/>
      <c r="B74" s="136" t="s">
        <v>218</v>
      </c>
      <c r="C74" s="104"/>
      <c r="D74" s="125" t="s">
        <v>46</v>
      </c>
      <c r="E74" s="125"/>
      <c r="F74" s="125"/>
      <c r="G74" s="166"/>
      <c r="H74" s="166"/>
      <c r="I74" s="460" t="str">
        <f>IF($C$74="○",IF(M71=0,"入力内容を確認してください",IF(M72=0,"入力完了","入力内容を確認してください")),"")</f>
        <v/>
      </c>
      <c r="J74" s="461"/>
      <c r="K74" s="462"/>
      <c r="L74" s="103"/>
      <c r="M74" s="399"/>
      <c r="N74" s="374"/>
      <c r="O74" s="374"/>
      <c r="P74" s="374" t="s">
        <v>396</v>
      </c>
      <c r="Q74" s="374" t="str">
        <f>IF(C79="○",P74,"")</f>
        <v/>
      </c>
      <c r="R74" s="374"/>
      <c r="S74" s="374"/>
      <c r="T74" s="374"/>
      <c r="U74" s="400"/>
      <c r="V74" s="381"/>
      <c r="W74" s="381"/>
      <c r="X74" s="381"/>
      <c r="Y74" s="381"/>
      <c r="Z74" s="381"/>
      <c r="AA74" s="381"/>
      <c r="AB74" s="381"/>
      <c r="AC74" s="381"/>
      <c r="AD74" s="381"/>
      <c r="AE74" s="381"/>
      <c r="AF74" s="381"/>
      <c r="AG74" s="381"/>
      <c r="AH74" s="381"/>
      <c r="AI74" s="381"/>
      <c r="AJ74" s="383"/>
      <c r="AL74"/>
      <c r="AM74"/>
      <c r="AN74"/>
      <c r="AO74"/>
      <c r="AP74"/>
      <c r="AQ74"/>
      <c r="AR74"/>
      <c r="AS74"/>
    </row>
    <row r="75" spans="1:45" x14ac:dyDescent="0.3">
      <c r="A75" s="120"/>
      <c r="B75" s="159"/>
      <c r="C75" s="103"/>
      <c r="D75" s="103"/>
      <c r="E75" s="167" t="str">
        <f ca="1">IF($U$38&lt;&gt;0,"特定大型車","")</f>
        <v/>
      </c>
      <c r="F75" s="116" t="str">
        <f ca="1">IF($E$66="","","運賃")</f>
        <v/>
      </c>
      <c r="G75" s="459"/>
      <c r="H75" s="116" t="str">
        <f ca="1">IF($E$66="","","分までごとに")</f>
        <v/>
      </c>
      <c r="I75" s="162"/>
      <c r="J75" s="116" t="str">
        <f ca="1">IF($E$66="","","円")</f>
        <v/>
      </c>
      <c r="K75" s="168"/>
      <c r="L75" s="103"/>
      <c r="M75" s="399"/>
      <c r="N75" s="374"/>
      <c r="O75" s="374"/>
      <c r="P75" s="374"/>
      <c r="Q75" s="374"/>
      <c r="R75" s="374"/>
      <c r="S75" s="374"/>
      <c r="T75" s="374"/>
      <c r="U75" s="400"/>
      <c r="V75" s="381"/>
      <c r="W75" s="381"/>
      <c r="X75" s="381"/>
      <c r="Y75" s="381"/>
      <c r="Z75" s="381"/>
      <c r="AA75" s="381"/>
      <c r="AB75" s="381"/>
      <c r="AC75" s="381"/>
      <c r="AD75" s="381"/>
      <c r="AE75" s="381"/>
      <c r="AF75" s="381"/>
      <c r="AG75" s="381"/>
      <c r="AH75" s="381"/>
      <c r="AI75" s="381"/>
      <c r="AJ75" s="383"/>
    </row>
    <row r="76" spans="1:45" x14ac:dyDescent="0.3">
      <c r="A76" s="120"/>
      <c r="B76" s="159"/>
      <c r="C76" s="103"/>
      <c r="D76" s="103"/>
      <c r="E76" s="169" t="s">
        <v>117</v>
      </c>
      <c r="F76" s="116" t="s">
        <v>127</v>
      </c>
      <c r="G76" s="114"/>
      <c r="H76" s="114" t="s">
        <v>123</v>
      </c>
      <c r="I76" s="114"/>
      <c r="J76" s="116" t="s">
        <v>121</v>
      </c>
      <c r="K76" s="130"/>
      <c r="L76" s="103"/>
      <c r="M76" s="399">
        <f>COUNTA(I80:I83)</f>
        <v>0</v>
      </c>
      <c r="N76" s="374"/>
      <c r="O76" s="374"/>
      <c r="P76" s="374"/>
      <c r="Q76" s="374" t="str">
        <f>IF(C81="○",P76,"")</f>
        <v/>
      </c>
      <c r="R76" s="374"/>
      <c r="S76" s="374"/>
      <c r="T76" s="374"/>
      <c r="U76" s="400"/>
      <c r="V76" s="381"/>
      <c r="W76" s="381"/>
      <c r="X76" s="381"/>
      <c r="Y76" s="381"/>
      <c r="Z76" s="382"/>
      <c r="AA76" s="381"/>
      <c r="AB76" s="381"/>
      <c r="AC76" s="381"/>
      <c r="AD76" s="381"/>
      <c r="AE76" s="381"/>
      <c r="AF76" s="381"/>
      <c r="AG76" s="381"/>
      <c r="AH76" s="381"/>
      <c r="AI76" s="381"/>
      <c r="AJ76" s="383"/>
    </row>
    <row r="77" spans="1:45" x14ac:dyDescent="0.3">
      <c r="A77" s="120"/>
      <c r="B77" s="159"/>
      <c r="C77" s="103"/>
      <c r="D77" s="103"/>
      <c r="E77" s="169" t="e">
        <f>IF(VLOOKUP("○",$C$27:$N$37,12,0)="普通車","普通車","中型車")</f>
        <v>#N/A</v>
      </c>
      <c r="F77" s="116" t="s">
        <v>127</v>
      </c>
      <c r="G77" s="114"/>
      <c r="H77" s="114" t="s">
        <v>123</v>
      </c>
      <c r="I77" s="114"/>
      <c r="J77" s="116" t="s">
        <v>121</v>
      </c>
      <c r="K77" s="130"/>
      <c r="L77" s="103"/>
      <c r="M77" s="399"/>
      <c r="N77" s="374"/>
      <c r="O77" s="374"/>
      <c r="P77" s="374"/>
      <c r="Q77" s="374"/>
      <c r="R77" s="374"/>
      <c r="S77" s="374"/>
      <c r="T77" s="374"/>
      <c r="U77" s="400"/>
      <c r="V77" s="381"/>
      <c r="W77" s="381"/>
      <c r="X77" s="381"/>
      <c r="Y77" s="381"/>
      <c r="Z77" s="381"/>
      <c r="AA77" s="381"/>
      <c r="AB77" s="381"/>
      <c r="AC77" s="381"/>
      <c r="AD77" s="381"/>
      <c r="AE77" s="381"/>
      <c r="AF77" s="381"/>
      <c r="AG77" s="381"/>
      <c r="AH77" s="381"/>
      <c r="AI77" s="381"/>
      <c r="AJ77" s="383"/>
    </row>
    <row r="78" spans="1:45" ht="15.6" thickBot="1" x14ac:dyDescent="0.35">
      <c r="A78" s="120"/>
      <c r="B78" s="137"/>
      <c r="C78" s="132"/>
      <c r="D78" s="132"/>
      <c r="E78" s="170" t="e">
        <f>IF(VLOOKUP("○",$C$27:$N$37,12,0)="普通車","","小型車")</f>
        <v>#N/A</v>
      </c>
      <c r="F78" s="117" t="e">
        <f>IF($E78="","","運賃")</f>
        <v>#N/A</v>
      </c>
      <c r="G78" s="115"/>
      <c r="H78" s="171" t="e">
        <f>IF($E78="","","分までごとに")</f>
        <v>#N/A</v>
      </c>
      <c r="I78" s="115"/>
      <c r="J78" s="170" t="e">
        <f>IF($E78="","","円")</f>
        <v>#N/A</v>
      </c>
      <c r="K78" s="135"/>
      <c r="L78" s="103"/>
      <c r="M78" s="399"/>
      <c r="N78" s="374"/>
      <c r="O78" s="374"/>
      <c r="P78" s="374"/>
      <c r="Q78" s="374"/>
      <c r="R78" s="374"/>
      <c r="S78" s="374"/>
      <c r="T78" s="374"/>
      <c r="U78" s="400"/>
      <c r="V78" s="381"/>
      <c r="W78" s="381"/>
      <c r="X78" s="381"/>
      <c r="Y78" s="381"/>
      <c r="Z78" s="381"/>
      <c r="AA78" s="381"/>
      <c r="AB78" s="381"/>
      <c r="AC78" s="381"/>
      <c r="AD78" s="381"/>
      <c r="AE78" s="381"/>
      <c r="AF78" s="381"/>
      <c r="AG78" s="381"/>
      <c r="AH78" s="381"/>
      <c r="AI78" s="381"/>
      <c r="AJ78" s="383"/>
    </row>
    <row r="79" spans="1:45" s="98" customFormat="1" ht="15.6" thickBot="1" x14ac:dyDescent="0.35">
      <c r="A79" s="120"/>
      <c r="B79" s="136" t="s">
        <v>219</v>
      </c>
      <c r="C79" s="104"/>
      <c r="D79" s="125" t="s">
        <v>395</v>
      </c>
      <c r="E79" s="172"/>
      <c r="F79" s="125"/>
      <c r="G79" s="166"/>
      <c r="H79" s="173"/>
      <c r="I79" s="460" t="str">
        <f>IF($C$79="○",IF(M76&gt;0,"入力完了","入力内容を確認してください"),"")</f>
        <v/>
      </c>
      <c r="J79" s="461"/>
      <c r="K79" s="462"/>
      <c r="L79" s="103"/>
      <c r="M79" s="399"/>
      <c r="N79" s="374"/>
      <c r="O79" s="374"/>
      <c r="P79" s="374"/>
      <c r="Q79" s="374"/>
      <c r="R79" s="374"/>
      <c r="S79" s="374"/>
      <c r="T79" s="374"/>
      <c r="U79" s="400"/>
      <c r="V79" s="381"/>
      <c r="W79" s="381"/>
      <c r="X79" s="381"/>
      <c r="Y79" s="381"/>
      <c r="Z79" s="381"/>
      <c r="AA79" s="381"/>
      <c r="AB79" s="381"/>
      <c r="AC79" s="381"/>
      <c r="AD79" s="381"/>
      <c r="AE79" s="381"/>
      <c r="AF79" s="381"/>
      <c r="AG79" s="381"/>
      <c r="AH79" s="381"/>
      <c r="AI79" s="381"/>
      <c r="AJ79" s="383"/>
      <c r="AL79"/>
      <c r="AM79"/>
      <c r="AN79"/>
      <c r="AO79"/>
      <c r="AP79"/>
      <c r="AQ79"/>
      <c r="AR79"/>
      <c r="AS79"/>
    </row>
    <row r="80" spans="1:45" x14ac:dyDescent="0.3">
      <c r="A80" s="120"/>
      <c r="B80" s="159"/>
      <c r="C80" s="103"/>
      <c r="D80" s="103"/>
      <c r="E80" s="167" t="str">
        <f ca="1">IF($U$38&lt;&gt;0,"特定大型車","")</f>
        <v/>
      </c>
      <c r="F80" s="116" t="str">
        <f ca="1">IF($E$66="","","運賃")</f>
        <v/>
      </c>
      <c r="G80" s="459"/>
      <c r="H80" s="174" t="str">
        <f ca="1">IF($E$66="","","1回")</f>
        <v/>
      </c>
      <c r="I80" s="459"/>
      <c r="J80" s="116" t="str">
        <f ca="1">IF($E$66="","","円")</f>
        <v/>
      </c>
      <c r="K80" s="168"/>
      <c r="L80" s="103"/>
      <c r="M80" s="399"/>
      <c r="N80" s="374"/>
      <c r="O80" s="374"/>
      <c r="P80" s="374"/>
      <c r="Q80" s="374"/>
      <c r="R80" s="374"/>
      <c r="S80" s="374"/>
      <c r="T80" s="374"/>
      <c r="U80" s="400"/>
      <c r="V80" s="381"/>
      <c r="W80" s="381"/>
      <c r="X80" s="381"/>
      <c r="Y80" s="381"/>
      <c r="Z80" s="381"/>
      <c r="AA80" s="381"/>
      <c r="AB80" s="381"/>
      <c r="AC80" s="381"/>
      <c r="AD80" s="381"/>
      <c r="AE80" s="381"/>
      <c r="AF80" s="381"/>
      <c r="AG80" s="381"/>
      <c r="AH80" s="381"/>
      <c r="AI80" s="381"/>
      <c r="AJ80" s="383"/>
    </row>
    <row r="81" spans="1:36" x14ac:dyDescent="0.3">
      <c r="A81" s="120"/>
      <c r="B81" s="140"/>
      <c r="C81" s="103"/>
      <c r="D81" s="103"/>
      <c r="E81" s="169" t="s">
        <v>117</v>
      </c>
      <c r="F81" s="116" t="s">
        <v>127</v>
      </c>
      <c r="G81" s="116"/>
      <c r="H81" s="175" t="s">
        <v>124</v>
      </c>
      <c r="I81" s="116"/>
      <c r="J81" s="169" t="s">
        <v>121</v>
      </c>
      <c r="K81" s="130"/>
      <c r="L81" s="103"/>
      <c r="M81" s="399"/>
      <c r="N81" s="374"/>
      <c r="O81" s="374"/>
      <c r="P81" s="374"/>
      <c r="Q81" s="374"/>
      <c r="R81" s="374"/>
      <c r="S81" s="374"/>
      <c r="T81" s="374"/>
      <c r="U81" s="400"/>
      <c r="V81" s="381"/>
      <c r="W81" s="381"/>
      <c r="X81" s="381"/>
      <c r="Y81" s="381"/>
      <c r="Z81" s="381"/>
      <c r="AA81" s="381"/>
      <c r="AB81" s="381"/>
      <c r="AC81" s="381"/>
      <c r="AD81" s="381"/>
      <c r="AE81" s="381"/>
      <c r="AF81" s="381"/>
      <c r="AG81" s="381"/>
      <c r="AH81" s="381"/>
      <c r="AI81" s="381"/>
      <c r="AJ81" s="383"/>
    </row>
    <row r="82" spans="1:36" x14ac:dyDescent="0.3">
      <c r="A82" s="120"/>
      <c r="B82" s="140"/>
      <c r="C82" s="103"/>
      <c r="D82" s="103"/>
      <c r="E82" s="169" t="e">
        <f>IF(VLOOKUP("○",$C$27:$N$37,12,0)="普通車","普通車","中型車")</f>
        <v>#N/A</v>
      </c>
      <c r="F82" s="116" t="s">
        <v>127</v>
      </c>
      <c r="G82" s="116"/>
      <c r="H82" s="175" t="s">
        <v>124</v>
      </c>
      <c r="I82" s="116"/>
      <c r="J82" s="169" t="s">
        <v>121</v>
      </c>
      <c r="K82" s="130"/>
      <c r="L82" s="103"/>
      <c r="M82" s="399"/>
      <c r="N82" s="374"/>
      <c r="O82" s="374"/>
      <c r="P82" s="374"/>
      <c r="Q82" s="374"/>
      <c r="R82" s="374"/>
      <c r="S82" s="374"/>
      <c r="T82" s="374"/>
      <c r="U82" s="400"/>
      <c r="V82" s="381"/>
      <c r="W82" s="381"/>
      <c r="X82" s="381"/>
      <c r="Y82" s="381"/>
      <c r="Z82" s="381"/>
      <c r="AA82" s="381"/>
      <c r="AB82" s="381"/>
      <c r="AC82" s="381"/>
      <c r="AD82" s="381"/>
      <c r="AE82" s="381"/>
      <c r="AF82" s="381"/>
      <c r="AG82" s="381"/>
      <c r="AH82" s="381"/>
      <c r="AI82" s="381"/>
      <c r="AJ82" s="383"/>
    </row>
    <row r="83" spans="1:36" ht="15.6" thickBot="1" x14ac:dyDescent="0.35">
      <c r="A83" s="120"/>
      <c r="B83" s="148"/>
      <c r="C83" s="132"/>
      <c r="D83" s="132"/>
      <c r="E83" s="170" t="e">
        <f>IF(VLOOKUP("○",$C$27:$N$37,12,0)="普通車","","小型車")</f>
        <v>#N/A</v>
      </c>
      <c r="F83" s="117" t="e">
        <f>IF($E83="","","運賃")</f>
        <v>#N/A</v>
      </c>
      <c r="G83" s="117"/>
      <c r="H83" s="176" t="e">
        <f>IF($E83="","","1回")</f>
        <v>#N/A</v>
      </c>
      <c r="I83" s="117"/>
      <c r="J83" s="170" t="e">
        <f>IF($E83="","","円")</f>
        <v>#N/A</v>
      </c>
      <c r="K83" s="135"/>
      <c r="L83" s="120"/>
      <c r="M83" s="399"/>
      <c r="N83" s="374"/>
      <c r="O83" s="374"/>
      <c r="P83" s="374"/>
      <c r="Q83" s="374"/>
      <c r="R83" s="374"/>
      <c r="S83" s="374"/>
      <c r="T83" s="374"/>
      <c r="U83" s="400"/>
      <c r="V83" s="381"/>
      <c r="W83" s="381"/>
      <c r="X83" s="381"/>
      <c r="Y83" s="381"/>
      <c r="Z83" s="381"/>
      <c r="AA83" s="381"/>
      <c r="AB83" s="381"/>
      <c r="AC83" s="381"/>
      <c r="AD83" s="381"/>
      <c r="AE83" s="381"/>
      <c r="AF83" s="381"/>
      <c r="AG83" s="381"/>
      <c r="AH83" s="381"/>
      <c r="AI83" s="381"/>
      <c r="AJ83" s="383"/>
    </row>
    <row r="84" spans="1:36" ht="15.6" thickBot="1" x14ac:dyDescent="0.35">
      <c r="A84" s="120"/>
      <c r="B84" s="120"/>
      <c r="C84" s="120"/>
      <c r="D84" s="120"/>
      <c r="E84" s="120"/>
      <c r="F84" s="120"/>
      <c r="G84" s="120"/>
      <c r="H84" s="120"/>
      <c r="I84" s="138" t="s">
        <v>520</v>
      </c>
      <c r="J84" s="120"/>
      <c r="K84" s="120"/>
      <c r="L84" s="120"/>
      <c r="M84" s="399"/>
      <c r="N84" s="374"/>
      <c r="O84" s="374"/>
      <c r="P84" s="374"/>
      <c r="Q84" s="374"/>
      <c r="R84" s="374"/>
      <c r="S84" s="374"/>
      <c r="T84" s="374"/>
      <c r="U84" s="400"/>
      <c r="V84" s="381"/>
      <c r="W84" s="381"/>
      <c r="X84" s="381"/>
      <c r="Y84" s="381"/>
      <c r="Z84" s="382"/>
      <c r="AA84" s="381"/>
      <c r="AB84" s="381"/>
      <c r="AC84" s="381"/>
      <c r="AD84" s="381"/>
      <c r="AE84" s="381"/>
      <c r="AF84" s="381"/>
      <c r="AG84" s="381"/>
      <c r="AH84" s="381"/>
      <c r="AI84" s="381"/>
      <c r="AJ84" s="383"/>
    </row>
    <row r="85" spans="1:36" ht="30.6" thickBot="1" x14ac:dyDescent="0.6">
      <c r="A85" s="120"/>
      <c r="B85" s="177" t="s">
        <v>250</v>
      </c>
      <c r="C85" s="178" t="str">
        <f ca="1">IF(N2=0,"入力完了→運輸支局へ提出してください","未入力等がありますので、再度確認してください")</f>
        <v>未入力等がありますので、再度確認してください</v>
      </c>
      <c r="D85" s="155"/>
      <c r="E85" s="155"/>
      <c r="F85" s="155"/>
      <c r="G85" s="155"/>
      <c r="H85" s="155"/>
      <c r="I85" s="155"/>
      <c r="J85" s="155"/>
      <c r="K85" s="156"/>
      <c r="L85" s="120"/>
      <c r="M85" s="399"/>
      <c r="N85" s="374"/>
      <c r="O85" s="374"/>
      <c r="P85" s="374"/>
      <c r="Q85" s="374"/>
      <c r="R85" s="374"/>
      <c r="S85" s="374"/>
      <c r="T85" s="374"/>
      <c r="U85" s="400"/>
      <c r="V85" s="381"/>
      <c r="W85" s="381"/>
      <c r="X85" s="381"/>
      <c r="Y85" s="381"/>
      <c r="Z85" s="381"/>
      <c r="AA85" s="381"/>
      <c r="AB85" s="381"/>
      <c r="AC85" s="381"/>
      <c r="AD85" s="381"/>
      <c r="AE85" s="381"/>
      <c r="AF85" s="381"/>
      <c r="AG85" s="381"/>
      <c r="AH85" s="381"/>
      <c r="AI85" s="381"/>
      <c r="AJ85" s="383"/>
    </row>
    <row r="86" spans="1:36" ht="15.6" thickBot="1" x14ac:dyDescent="0.35">
      <c r="A86" s="120"/>
      <c r="B86" s="120"/>
      <c r="C86" s="120"/>
      <c r="D86" s="120"/>
      <c r="E86" s="120"/>
      <c r="F86" s="120"/>
      <c r="G86" s="120"/>
      <c r="H86" s="120"/>
      <c r="I86" s="120"/>
      <c r="J86" s="120"/>
      <c r="K86" s="120"/>
      <c r="L86" s="120"/>
      <c r="M86" s="399"/>
      <c r="N86" s="374"/>
      <c r="O86" s="374"/>
      <c r="P86" s="374"/>
      <c r="Q86" s="374"/>
      <c r="R86" s="374"/>
      <c r="S86" s="374"/>
      <c r="T86" s="374"/>
      <c r="U86" s="400"/>
      <c r="V86" s="381"/>
      <c r="W86" s="381"/>
      <c r="X86" s="381"/>
      <c r="Y86" s="381"/>
      <c r="Z86" s="381"/>
      <c r="AA86" s="381"/>
      <c r="AB86" s="381"/>
      <c r="AC86" s="381"/>
      <c r="AD86" s="381"/>
      <c r="AE86" s="381"/>
      <c r="AF86" s="381"/>
      <c r="AG86" s="381"/>
      <c r="AH86" s="381"/>
      <c r="AI86" s="381"/>
      <c r="AJ86" s="383"/>
    </row>
    <row r="87" spans="1:36" ht="15.6" thickBot="1" x14ac:dyDescent="0.35">
      <c r="A87" s="120"/>
      <c r="B87" s="121" t="s">
        <v>292</v>
      </c>
      <c r="C87" s="122"/>
      <c r="D87" s="122"/>
      <c r="E87" s="122"/>
      <c r="F87" s="122"/>
      <c r="G87" s="122"/>
      <c r="H87" s="122"/>
      <c r="I87" s="122"/>
      <c r="J87" s="122"/>
      <c r="K87" s="123"/>
      <c r="L87" s="120"/>
      <c r="M87" s="399"/>
      <c r="N87" s="374"/>
      <c r="O87" s="374"/>
      <c r="P87" s="374"/>
      <c r="Q87" s="374"/>
      <c r="R87" s="374"/>
      <c r="S87" s="374"/>
      <c r="T87" s="374"/>
      <c r="U87" s="400"/>
      <c r="V87" s="381"/>
      <c r="W87" s="381"/>
      <c r="X87" s="381"/>
      <c r="Y87" s="381"/>
      <c r="Z87" s="381"/>
      <c r="AA87" s="381"/>
      <c r="AB87" s="381"/>
      <c r="AC87" s="381"/>
      <c r="AD87" s="381"/>
      <c r="AE87" s="381"/>
      <c r="AF87" s="381"/>
      <c r="AG87" s="381"/>
      <c r="AH87" s="381"/>
      <c r="AI87" s="381"/>
      <c r="AJ87" s="383"/>
    </row>
    <row r="88" spans="1:36" x14ac:dyDescent="0.3">
      <c r="A88" s="120">
        <v>10</v>
      </c>
      <c r="B88" s="179"/>
      <c r="C88" s="125" t="s">
        <v>165</v>
      </c>
      <c r="D88" s="180" t="str">
        <f>HYPERLINK("#"&amp;"申請書表紙!A1","申請書表紙")</f>
        <v>申請書表紙</v>
      </c>
      <c r="E88" s="125"/>
      <c r="F88" s="125"/>
      <c r="G88" s="125"/>
      <c r="H88" s="125"/>
      <c r="I88" s="125"/>
      <c r="J88" s="125"/>
      <c r="K88" s="127"/>
      <c r="L88" s="120"/>
      <c r="M88" s="399"/>
      <c r="N88" s="374"/>
      <c r="O88" s="374"/>
      <c r="P88" s="374"/>
      <c r="Q88" s="374"/>
      <c r="R88" s="374"/>
      <c r="S88" s="374"/>
      <c r="T88" s="374"/>
      <c r="U88" s="400"/>
      <c r="V88" s="381"/>
      <c r="W88" s="381"/>
      <c r="X88" s="381"/>
      <c r="Y88" s="381"/>
      <c r="Z88" s="381"/>
      <c r="AA88" s="381"/>
      <c r="AB88" s="381"/>
      <c r="AC88" s="381"/>
      <c r="AD88" s="381"/>
      <c r="AE88" s="381"/>
      <c r="AF88" s="381"/>
      <c r="AG88" s="381"/>
      <c r="AH88" s="381"/>
      <c r="AI88" s="381"/>
      <c r="AJ88" s="383"/>
    </row>
    <row r="89" spans="1:36" ht="15.6" thickBot="1" x14ac:dyDescent="0.35">
      <c r="A89" s="120"/>
      <c r="B89" s="148"/>
      <c r="C89" s="132" t="s">
        <v>166</v>
      </c>
      <c r="D89" s="181" t="str">
        <f>HYPERLINK("#"&amp;"別紙!A1","申請書別紙")</f>
        <v>申請書別紙</v>
      </c>
      <c r="E89" s="132" t="s">
        <v>327</v>
      </c>
      <c r="F89" s="132"/>
      <c r="G89" s="132"/>
      <c r="H89" s="132"/>
      <c r="I89" s="132"/>
      <c r="J89" s="132"/>
      <c r="K89" s="135"/>
      <c r="L89" s="120"/>
      <c r="M89" s="399"/>
      <c r="N89" s="374"/>
      <c r="O89" s="374"/>
      <c r="P89" s="374"/>
      <c r="Q89" s="374"/>
      <c r="R89" s="374"/>
      <c r="S89" s="374"/>
      <c r="T89" s="374"/>
      <c r="U89" s="400"/>
      <c r="V89" s="381"/>
      <c r="W89" s="381"/>
      <c r="X89" s="381"/>
      <c r="Y89" s="381"/>
      <c r="Z89" s="381"/>
      <c r="AA89" s="381"/>
      <c r="AB89" s="381"/>
      <c r="AC89" s="381"/>
      <c r="AD89" s="381"/>
      <c r="AE89" s="381"/>
      <c r="AF89" s="381"/>
      <c r="AG89" s="381"/>
      <c r="AH89" s="381"/>
      <c r="AI89" s="381"/>
      <c r="AJ89" s="383"/>
    </row>
    <row r="90" spans="1:36" ht="15.6" thickBot="1" x14ac:dyDescent="0.35">
      <c r="A90" s="120"/>
      <c r="B90" s="120"/>
      <c r="C90" s="120"/>
      <c r="D90" s="120"/>
      <c r="E90" s="120"/>
      <c r="F90" s="120"/>
      <c r="G90" s="120"/>
      <c r="H90" s="120"/>
      <c r="I90" s="120"/>
      <c r="J90" s="120"/>
      <c r="K90" s="120"/>
      <c r="L90" s="120"/>
      <c r="M90" s="399"/>
      <c r="N90" s="374"/>
      <c r="O90" s="374"/>
      <c r="P90" s="374"/>
      <c r="Q90" s="374"/>
      <c r="R90" s="374"/>
      <c r="S90" s="374"/>
      <c r="T90" s="374"/>
      <c r="U90" s="400"/>
      <c r="V90" s="381"/>
      <c r="W90" s="381"/>
      <c r="X90" s="381"/>
      <c r="Y90" s="381"/>
      <c r="Z90" s="381"/>
      <c r="AA90" s="381"/>
      <c r="AB90" s="381"/>
      <c r="AC90" s="381"/>
      <c r="AD90" s="381"/>
      <c r="AE90" s="381"/>
      <c r="AF90" s="381"/>
      <c r="AG90" s="381"/>
      <c r="AH90" s="381"/>
      <c r="AI90" s="381"/>
      <c r="AJ90" s="383"/>
    </row>
    <row r="91" spans="1:36" ht="15.6" thickBot="1" x14ac:dyDescent="0.35">
      <c r="A91" s="120"/>
      <c r="B91" s="182" t="s">
        <v>175</v>
      </c>
      <c r="C91" s="183"/>
      <c r="D91" s="183"/>
      <c r="E91" s="183"/>
      <c r="F91" s="183"/>
      <c r="G91" s="183"/>
      <c r="H91" s="183"/>
      <c r="I91" s="183"/>
      <c r="J91" s="183"/>
      <c r="K91" s="184"/>
      <c r="L91" s="120"/>
      <c r="M91" s="399"/>
      <c r="N91" s="374"/>
      <c r="O91" s="374"/>
      <c r="P91" s="374"/>
      <c r="Q91" s="374"/>
      <c r="R91" s="374"/>
      <c r="S91" s="374"/>
      <c r="T91" s="374"/>
      <c r="U91" s="400"/>
      <c r="V91" s="385"/>
      <c r="W91" s="385"/>
      <c r="X91" s="385"/>
      <c r="Y91" s="385"/>
      <c r="Z91" s="385"/>
      <c r="AA91" s="385"/>
      <c r="AB91" s="385"/>
      <c r="AC91" s="385"/>
      <c r="AD91" s="385"/>
      <c r="AE91" s="385"/>
      <c r="AF91" s="385"/>
      <c r="AG91" s="385"/>
      <c r="AH91" s="385"/>
      <c r="AI91" s="385"/>
      <c r="AJ91" s="386"/>
    </row>
    <row r="92" spans="1:36" x14ac:dyDescent="0.3">
      <c r="A92" s="120"/>
      <c r="B92" s="140"/>
      <c r="C92" s="103"/>
      <c r="D92" s="276" t="s">
        <v>200</v>
      </c>
      <c r="E92" s="277" t="s">
        <v>348</v>
      </c>
      <c r="F92" s="103"/>
      <c r="G92" s="103" t="s">
        <v>198</v>
      </c>
      <c r="H92" s="103" t="s">
        <v>196</v>
      </c>
      <c r="I92" s="278"/>
      <c r="J92" s="103"/>
      <c r="K92" s="130"/>
      <c r="L92" s="120"/>
      <c r="M92" s="399"/>
      <c r="N92" s="374"/>
      <c r="O92" s="374"/>
      <c r="P92" s="374"/>
      <c r="Q92" s="374"/>
      <c r="R92" s="374"/>
      <c r="S92" s="374"/>
      <c r="T92" s="374"/>
      <c r="U92" s="400"/>
    </row>
    <row r="93" spans="1:36" ht="15.6" thickBot="1" x14ac:dyDescent="0.35">
      <c r="A93" s="120"/>
      <c r="B93" s="140"/>
      <c r="C93" s="103"/>
      <c r="D93" s="341" t="s">
        <v>378</v>
      </c>
      <c r="E93" s="103" t="s">
        <v>379</v>
      </c>
      <c r="F93" s="103"/>
      <c r="G93" s="103" t="s">
        <v>199</v>
      </c>
      <c r="H93" s="103" t="s">
        <v>197</v>
      </c>
      <c r="I93" s="103"/>
      <c r="J93" s="103"/>
      <c r="K93" s="130"/>
      <c r="L93" s="120"/>
      <c r="M93" s="399"/>
      <c r="N93" s="374"/>
      <c r="O93" s="374"/>
      <c r="P93" s="374"/>
      <c r="Q93" s="374"/>
      <c r="R93" s="374"/>
      <c r="S93" s="374"/>
      <c r="T93" s="374"/>
      <c r="U93" s="400"/>
    </row>
    <row r="94" spans="1:36" ht="15.6" thickBot="1" x14ac:dyDescent="0.35">
      <c r="A94" s="120"/>
      <c r="B94" s="182" t="s">
        <v>246</v>
      </c>
      <c r="C94" s="183"/>
      <c r="D94" s="183"/>
      <c r="E94" s="183"/>
      <c r="F94" s="183"/>
      <c r="G94" s="183"/>
      <c r="H94" s="183"/>
      <c r="I94" s="183" t="s">
        <v>278</v>
      </c>
      <c r="J94" s="183"/>
      <c r="K94" s="183" t="s">
        <v>279</v>
      </c>
      <c r="L94" s="120"/>
      <c r="M94" s="399"/>
      <c r="N94" s="374"/>
      <c r="O94" s="374"/>
      <c r="P94" s="374"/>
      <c r="Q94" s="374"/>
      <c r="R94" s="374"/>
      <c r="S94" s="374"/>
      <c r="T94" s="374"/>
      <c r="U94" s="400"/>
    </row>
    <row r="95" spans="1:36" x14ac:dyDescent="0.3">
      <c r="A95" s="120"/>
      <c r="B95" s="140" t="s">
        <v>187</v>
      </c>
      <c r="C95" s="103"/>
      <c r="D95" s="343" t="s">
        <v>192</v>
      </c>
      <c r="E95" s="343" t="s">
        <v>176</v>
      </c>
      <c r="F95" s="103" t="s">
        <v>177</v>
      </c>
      <c r="G95" s="103"/>
      <c r="H95" s="103"/>
      <c r="I95" s="103" t="s">
        <v>201</v>
      </c>
      <c r="J95" s="103"/>
      <c r="K95" s="103" t="s">
        <v>210</v>
      </c>
      <c r="L95" s="120"/>
      <c r="M95" s="399"/>
      <c r="N95" s="374"/>
      <c r="O95" s="374"/>
      <c r="P95" s="374"/>
      <c r="Q95" s="374"/>
      <c r="R95" s="374"/>
      <c r="S95" s="374"/>
      <c r="T95" s="374"/>
      <c r="U95" s="400"/>
    </row>
    <row r="96" spans="1:36" x14ac:dyDescent="0.3">
      <c r="A96" s="120"/>
      <c r="B96" s="140" t="s">
        <v>195</v>
      </c>
      <c r="C96" s="103"/>
      <c r="D96" s="343" t="s">
        <v>192</v>
      </c>
      <c r="E96" s="343" t="s">
        <v>185</v>
      </c>
      <c r="F96" s="103" t="s">
        <v>186</v>
      </c>
      <c r="G96" s="103"/>
      <c r="H96" s="103"/>
      <c r="I96" s="103" t="s">
        <v>203</v>
      </c>
      <c r="J96" s="103"/>
      <c r="K96" s="103" t="s">
        <v>212</v>
      </c>
      <c r="L96" s="120"/>
      <c r="M96" s="399"/>
      <c r="N96" s="374"/>
      <c r="O96" s="374"/>
      <c r="P96" s="374"/>
      <c r="Q96" s="374"/>
      <c r="R96" s="374"/>
      <c r="S96" s="374"/>
      <c r="T96" s="374"/>
      <c r="U96" s="400"/>
      <c r="W96" s="95"/>
      <c r="X96" s="86"/>
      <c r="Y96" s="86"/>
      <c r="Z96" s="86"/>
      <c r="AA96" s="86"/>
      <c r="AB96" s="86"/>
      <c r="AC96" s="86"/>
      <c r="AD96" s="86"/>
      <c r="AE96" s="86"/>
      <c r="AF96" s="86"/>
      <c r="AG96" s="86"/>
      <c r="AH96" s="86"/>
      <c r="AI96" s="86"/>
      <c r="AJ96" s="86"/>
    </row>
    <row r="97" spans="1:36" x14ac:dyDescent="0.3">
      <c r="A97" s="120"/>
      <c r="B97" s="140" t="s">
        <v>188</v>
      </c>
      <c r="C97" s="103"/>
      <c r="D97" s="343" t="s">
        <v>193</v>
      </c>
      <c r="E97" s="343" t="s">
        <v>178</v>
      </c>
      <c r="F97" s="103" t="s">
        <v>179</v>
      </c>
      <c r="G97" s="103"/>
      <c r="H97" s="103"/>
      <c r="I97" s="103" t="s">
        <v>202</v>
      </c>
      <c r="J97" s="103"/>
      <c r="K97" s="103" t="s">
        <v>211</v>
      </c>
      <c r="L97" s="394"/>
      <c r="M97" s="399"/>
      <c r="N97" s="374"/>
      <c r="O97" s="374"/>
      <c r="P97" s="374"/>
      <c r="Q97" s="374"/>
      <c r="R97" s="374"/>
      <c r="S97" s="374"/>
      <c r="T97" s="374"/>
      <c r="U97" s="400"/>
      <c r="V97" s="95"/>
      <c r="W97" s="95"/>
      <c r="X97" s="86"/>
      <c r="Y97" s="86"/>
      <c r="Z97" s="86"/>
      <c r="AA97" s="86"/>
      <c r="AB97" s="86"/>
      <c r="AC97" s="86"/>
      <c r="AD97" s="86"/>
      <c r="AE97" s="86"/>
      <c r="AF97" s="86"/>
      <c r="AG97" s="86"/>
      <c r="AH97" s="86"/>
      <c r="AI97" s="86"/>
      <c r="AJ97" s="86"/>
    </row>
    <row r="98" spans="1:36" x14ac:dyDescent="0.3">
      <c r="A98" s="120"/>
      <c r="B98" s="140" t="s">
        <v>189</v>
      </c>
      <c r="C98" s="103"/>
      <c r="D98" s="343" t="s">
        <v>194</v>
      </c>
      <c r="E98" s="343" t="s">
        <v>180</v>
      </c>
      <c r="F98" s="103" t="s">
        <v>347</v>
      </c>
      <c r="G98" s="103"/>
      <c r="H98" s="103"/>
      <c r="I98" s="103" t="s">
        <v>204</v>
      </c>
      <c r="J98" s="103"/>
      <c r="K98" s="103" t="s">
        <v>205</v>
      </c>
      <c r="L98" s="103"/>
      <c r="M98" s="399"/>
      <c r="N98" s="374"/>
      <c r="O98" s="374"/>
      <c r="P98" s="374"/>
      <c r="Q98" s="374"/>
      <c r="R98" s="374"/>
      <c r="S98" s="374"/>
      <c r="T98" s="374"/>
      <c r="U98" s="400"/>
      <c r="V98" s="95"/>
      <c r="W98" s="95"/>
      <c r="X98" s="86"/>
      <c r="Y98" s="86"/>
      <c r="Z98" s="86"/>
      <c r="AA98" s="86"/>
      <c r="AB98" s="86"/>
      <c r="AC98" s="86"/>
      <c r="AD98" s="86"/>
      <c r="AE98" s="86"/>
      <c r="AF98" s="86"/>
      <c r="AG98" s="86"/>
      <c r="AH98" s="86"/>
      <c r="AI98" s="86"/>
      <c r="AJ98" s="86"/>
    </row>
    <row r="99" spans="1:36" x14ac:dyDescent="0.3">
      <c r="A99" s="120"/>
      <c r="B99" s="140" t="s">
        <v>190</v>
      </c>
      <c r="C99" s="103"/>
      <c r="D99" s="343" t="s">
        <v>194</v>
      </c>
      <c r="E99" s="343" t="s">
        <v>181</v>
      </c>
      <c r="F99" s="103" t="s">
        <v>182</v>
      </c>
      <c r="G99" s="103"/>
      <c r="H99" s="103"/>
      <c r="I99" s="103" t="s">
        <v>206</v>
      </c>
      <c r="J99" s="103"/>
      <c r="K99" s="103" t="s">
        <v>207</v>
      </c>
      <c r="L99" s="103"/>
      <c r="M99" s="399"/>
      <c r="N99" s="374"/>
      <c r="O99" s="374"/>
      <c r="P99" s="374"/>
      <c r="Q99" s="374"/>
      <c r="R99" s="374"/>
      <c r="S99" s="374"/>
      <c r="T99" s="374"/>
      <c r="U99" s="400"/>
      <c r="V99" s="95"/>
      <c r="W99" s="95"/>
      <c r="X99" s="86"/>
      <c r="Y99" s="86"/>
      <c r="Z99" s="86"/>
      <c r="AA99" s="86"/>
      <c r="AB99" s="86"/>
      <c r="AC99" s="86"/>
      <c r="AD99" s="86"/>
      <c r="AE99" s="86"/>
      <c r="AF99" s="86"/>
      <c r="AG99" s="86"/>
      <c r="AH99" s="86"/>
      <c r="AI99" s="86"/>
      <c r="AJ99" s="86"/>
    </row>
    <row r="100" spans="1:36" ht="15.6" thickBot="1" x14ac:dyDescent="0.35">
      <c r="A100" s="120"/>
      <c r="B100" s="148" t="s">
        <v>191</v>
      </c>
      <c r="C100" s="132"/>
      <c r="D100" s="344" t="s">
        <v>193</v>
      </c>
      <c r="E100" s="344" t="s">
        <v>183</v>
      </c>
      <c r="F100" s="132" t="s">
        <v>184</v>
      </c>
      <c r="G100" s="132"/>
      <c r="H100" s="132"/>
      <c r="I100" s="132" t="s">
        <v>208</v>
      </c>
      <c r="J100" s="132"/>
      <c r="K100" s="132" t="s">
        <v>209</v>
      </c>
      <c r="L100" s="103"/>
      <c r="M100" s="399"/>
      <c r="N100" s="374"/>
      <c r="O100" s="374"/>
      <c r="P100" s="374"/>
      <c r="Q100" s="374"/>
      <c r="R100" s="374"/>
      <c r="S100" s="374"/>
      <c r="T100" s="374"/>
      <c r="U100" s="400"/>
      <c r="V100" s="95"/>
      <c r="W100" s="95"/>
      <c r="X100" s="86"/>
      <c r="Y100" s="86"/>
      <c r="Z100" s="86"/>
      <c r="AA100" s="86"/>
      <c r="AB100" s="86"/>
      <c r="AC100" s="86"/>
      <c r="AD100" s="86"/>
      <c r="AE100" s="86"/>
      <c r="AF100" s="86"/>
      <c r="AG100" s="86"/>
      <c r="AH100" s="86"/>
      <c r="AI100" s="86"/>
      <c r="AJ100" s="86"/>
    </row>
    <row r="101" spans="1:36" x14ac:dyDescent="0.3">
      <c r="A101" s="120"/>
      <c r="L101" s="103"/>
      <c r="M101" s="399"/>
      <c r="N101" s="374"/>
      <c r="O101" s="374"/>
      <c r="P101" s="374"/>
      <c r="Q101" s="374"/>
      <c r="R101" s="374"/>
      <c r="S101" s="374"/>
      <c r="T101" s="374"/>
      <c r="U101" s="400"/>
      <c r="V101" s="95"/>
      <c r="W101" s="95"/>
      <c r="X101" s="86"/>
      <c r="Y101" s="86"/>
      <c r="Z101" s="86"/>
      <c r="AA101" s="86"/>
      <c r="AB101" s="86"/>
      <c r="AC101" s="86"/>
      <c r="AD101" s="86"/>
      <c r="AE101" s="86"/>
      <c r="AF101" s="86"/>
      <c r="AG101" s="86"/>
      <c r="AH101" s="86"/>
      <c r="AI101" s="86"/>
      <c r="AJ101" s="86"/>
    </row>
    <row r="102" spans="1:36" x14ac:dyDescent="0.3">
      <c r="L102" s="103"/>
      <c r="M102" s="399"/>
      <c r="N102" s="374"/>
      <c r="O102" s="374"/>
      <c r="P102" s="374"/>
      <c r="Q102" s="374"/>
      <c r="R102" s="374"/>
      <c r="S102" s="374"/>
      <c r="T102" s="374"/>
      <c r="U102" s="400"/>
      <c r="V102" s="95"/>
      <c r="W102" s="95"/>
      <c r="X102" s="86"/>
      <c r="Y102" s="86"/>
      <c r="Z102" s="86"/>
      <c r="AA102" s="86"/>
      <c r="AB102" s="86"/>
      <c r="AC102" s="86"/>
      <c r="AD102" s="86"/>
      <c r="AE102" s="86"/>
      <c r="AF102" s="86"/>
      <c r="AG102" s="86"/>
      <c r="AH102" s="86"/>
      <c r="AI102" s="86"/>
      <c r="AJ102" s="86"/>
    </row>
    <row r="103" spans="1:36" x14ac:dyDescent="0.3">
      <c r="L103" s="103"/>
      <c r="M103" s="399"/>
      <c r="N103" s="374"/>
      <c r="O103" s="374"/>
      <c r="P103" s="374"/>
      <c r="Q103" s="374"/>
      <c r="R103" s="374"/>
      <c r="S103" s="374"/>
      <c r="T103" s="374"/>
      <c r="U103" s="400"/>
      <c r="V103" s="95"/>
      <c r="W103" s="95"/>
      <c r="X103" s="86"/>
      <c r="Y103" s="86"/>
      <c r="Z103" s="86"/>
      <c r="AA103" s="86"/>
      <c r="AB103" s="86"/>
      <c r="AC103" s="86"/>
      <c r="AD103" s="86"/>
      <c r="AE103" s="86"/>
      <c r="AF103" s="86"/>
      <c r="AG103" s="86"/>
      <c r="AH103" s="86"/>
      <c r="AI103" s="86"/>
      <c r="AJ103" s="86"/>
    </row>
    <row r="104" spans="1:36" ht="15.6" thickBot="1" x14ac:dyDescent="0.35">
      <c r="L104" s="103"/>
      <c r="M104" s="403"/>
      <c r="N104" s="404"/>
      <c r="O104" s="404"/>
      <c r="P104" s="404"/>
      <c r="Q104" s="404"/>
      <c r="R104" s="404"/>
      <c r="S104" s="404"/>
      <c r="T104" s="404"/>
      <c r="U104" s="405"/>
      <c r="V104" s="95"/>
      <c r="W104" s="95"/>
      <c r="X104" s="86"/>
      <c r="Y104" s="86"/>
      <c r="Z104" s="86"/>
      <c r="AA104" s="86"/>
      <c r="AB104" s="86"/>
      <c r="AC104" s="86"/>
      <c r="AD104" s="86"/>
      <c r="AE104" s="86"/>
      <c r="AF104" s="86"/>
      <c r="AG104" s="86"/>
      <c r="AH104" s="86"/>
      <c r="AI104" s="86"/>
      <c r="AJ104" s="86"/>
    </row>
    <row r="105" spans="1:36" ht="15.6" thickTop="1" x14ac:dyDescent="0.3">
      <c r="V105" s="95"/>
      <c r="W105" s="95"/>
      <c r="X105" s="86"/>
      <c r="Y105" s="86"/>
      <c r="Z105" s="86"/>
      <c r="AA105" s="86"/>
      <c r="AB105" s="86"/>
      <c r="AC105" s="86"/>
      <c r="AD105" s="86"/>
      <c r="AE105" s="86"/>
      <c r="AF105" s="86"/>
      <c r="AG105" s="86"/>
      <c r="AH105" s="86"/>
      <c r="AI105" s="86"/>
      <c r="AJ105" s="86"/>
    </row>
    <row r="106" spans="1:36" x14ac:dyDescent="0.3">
      <c r="B106" s="86" t="s">
        <v>128</v>
      </c>
      <c r="V106" s="95"/>
      <c r="W106" s="95"/>
      <c r="X106" s="86"/>
      <c r="Y106" s="86"/>
      <c r="Z106" s="86"/>
      <c r="AA106" s="86"/>
      <c r="AB106" s="86"/>
      <c r="AC106" s="86"/>
      <c r="AD106" s="86"/>
      <c r="AE106" s="86"/>
      <c r="AF106" s="86"/>
      <c r="AG106" s="86"/>
      <c r="AH106" s="86"/>
      <c r="AI106" s="86"/>
      <c r="AJ106" s="86"/>
    </row>
    <row r="107" spans="1:36" x14ac:dyDescent="0.3">
      <c r="V107" s="95"/>
      <c r="W107" s="95"/>
      <c r="X107" s="86"/>
      <c r="Y107" s="86"/>
      <c r="Z107" s="86"/>
      <c r="AA107" s="86"/>
      <c r="AB107" s="86"/>
      <c r="AC107" s="86"/>
      <c r="AD107" s="86"/>
      <c r="AE107" s="86"/>
      <c r="AF107" s="86"/>
      <c r="AG107" s="86"/>
      <c r="AH107" s="86"/>
      <c r="AI107" s="86"/>
      <c r="AJ107" s="86"/>
    </row>
    <row r="108" spans="1:36" x14ac:dyDescent="0.3">
      <c r="V108" s="95"/>
      <c r="W108" s="95"/>
      <c r="X108" s="86"/>
      <c r="Y108" s="86"/>
      <c r="Z108" s="86"/>
      <c r="AA108" s="86"/>
      <c r="AB108" s="86"/>
      <c r="AC108" s="86"/>
      <c r="AD108" s="86"/>
      <c r="AE108" s="86"/>
      <c r="AF108" s="86"/>
      <c r="AG108" s="86"/>
      <c r="AH108" s="86"/>
      <c r="AI108" s="86"/>
      <c r="AJ108" s="86"/>
    </row>
    <row r="109" spans="1:36" x14ac:dyDescent="0.3">
      <c r="V109" s="95"/>
      <c r="W109" s="95"/>
      <c r="X109" s="86"/>
      <c r="Y109" s="86"/>
      <c r="Z109" s="86"/>
      <c r="AA109" s="86"/>
      <c r="AB109" s="86"/>
      <c r="AC109" s="86"/>
      <c r="AD109" s="86"/>
      <c r="AE109" s="86"/>
      <c r="AF109" s="86"/>
      <c r="AG109" s="86"/>
      <c r="AH109" s="86"/>
      <c r="AI109" s="86"/>
      <c r="AJ109" s="86"/>
    </row>
    <row r="110" spans="1:36" x14ac:dyDescent="0.3">
      <c r="V110" s="95"/>
      <c r="W110" s="95"/>
      <c r="X110" s="86"/>
      <c r="Y110" s="86"/>
      <c r="Z110" s="86"/>
      <c r="AA110" s="86"/>
      <c r="AB110" s="86"/>
      <c r="AC110" s="86"/>
      <c r="AD110" s="86"/>
      <c r="AE110" s="86"/>
      <c r="AF110" s="86"/>
      <c r="AG110" s="86"/>
      <c r="AH110" s="86"/>
      <c r="AI110" s="86"/>
      <c r="AJ110" s="86"/>
    </row>
    <row r="111" spans="1:36" x14ac:dyDescent="0.3">
      <c r="V111" s="95"/>
      <c r="W111" s="95"/>
      <c r="X111" s="86"/>
      <c r="Y111" s="86"/>
      <c r="Z111" s="86"/>
      <c r="AA111" s="86"/>
      <c r="AB111" s="86"/>
      <c r="AC111" s="86"/>
      <c r="AD111" s="86"/>
      <c r="AE111" s="86"/>
      <c r="AF111" s="86"/>
      <c r="AG111" s="86"/>
      <c r="AH111" s="86"/>
      <c r="AI111" s="86"/>
      <c r="AJ111" s="86"/>
    </row>
    <row r="112" spans="1:36" x14ac:dyDescent="0.3">
      <c r="V112" s="95"/>
      <c r="W112" s="95"/>
      <c r="X112" s="86"/>
      <c r="Y112" s="86"/>
      <c r="Z112" s="86"/>
      <c r="AA112" s="86"/>
      <c r="AB112" s="86"/>
      <c r="AC112" s="86"/>
      <c r="AD112" s="86"/>
      <c r="AE112" s="86"/>
      <c r="AF112" s="86"/>
      <c r="AG112" s="86"/>
      <c r="AH112" s="86"/>
      <c r="AI112" s="86"/>
      <c r="AJ112" s="86"/>
    </row>
    <row r="113" spans="22:36" x14ac:dyDescent="0.3">
      <c r="V113" s="95"/>
      <c r="W113" s="95"/>
      <c r="X113" s="86"/>
      <c r="Y113" s="86"/>
      <c r="Z113" s="86"/>
      <c r="AA113" s="86"/>
      <c r="AB113" s="86"/>
      <c r="AC113" s="86"/>
      <c r="AD113" s="86"/>
      <c r="AE113" s="86"/>
      <c r="AF113" s="86"/>
      <c r="AG113" s="86"/>
      <c r="AH113" s="86"/>
      <c r="AI113" s="86"/>
      <c r="AJ113" s="86"/>
    </row>
    <row r="114" spans="22:36" x14ac:dyDescent="0.3">
      <c r="V114" s="95"/>
      <c r="W114" s="95"/>
      <c r="X114" s="86"/>
      <c r="Y114" s="86"/>
      <c r="Z114" s="86"/>
      <c r="AA114" s="86"/>
      <c r="AB114" s="86"/>
      <c r="AC114" s="86"/>
      <c r="AD114" s="86"/>
      <c r="AE114" s="86"/>
      <c r="AF114" s="86"/>
      <c r="AG114" s="86"/>
      <c r="AH114" s="86"/>
      <c r="AI114" s="86"/>
      <c r="AJ114" s="86"/>
    </row>
    <row r="115" spans="22:36" x14ac:dyDescent="0.3">
      <c r="V115" s="95"/>
      <c r="W115" s="95"/>
      <c r="X115" s="86"/>
      <c r="Y115" s="86"/>
      <c r="Z115" s="86"/>
      <c r="AA115" s="86"/>
      <c r="AB115" s="86"/>
      <c r="AC115" s="86"/>
      <c r="AD115" s="86"/>
      <c r="AE115" s="86"/>
      <c r="AF115" s="86"/>
      <c r="AG115" s="86"/>
      <c r="AH115" s="86"/>
      <c r="AI115" s="86"/>
      <c r="AJ115" s="86"/>
    </row>
    <row r="124" spans="22:36" x14ac:dyDescent="0.3">
      <c r="V124" s="95"/>
      <c r="W124" s="95"/>
      <c r="X124" s="95"/>
      <c r="Y124" s="97"/>
      <c r="Z124" s="97"/>
      <c r="AA124" s="97"/>
      <c r="AB124" s="97"/>
      <c r="AC124" s="97"/>
      <c r="AD124" s="97"/>
      <c r="AE124" s="97"/>
      <c r="AF124" s="97"/>
      <c r="AG124" s="97"/>
      <c r="AH124" s="97"/>
      <c r="AI124" s="97"/>
      <c r="AJ124" s="97"/>
    </row>
    <row r="125" spans="22:36" x14ac:dyDescent="0.3">
      <c r="V125" s="95"/>
      <c r="W125" s="95"/>
      <c r="X125" s="95"/>
      <c r="Y125" s="97"/>
      <c r="Z125" s="97"/>
      <c r="AA125" s="97"/>
      <c r="AB125" s="97"/>
      <c r="AC125" s="97"/>
      <c r="AD125" s="97"/>
      <c r="AE125" s="97"/>
      <c r="AF125" s="97"/>
      <c r="AG125" s="97"/>
      <c r="AH125" s="97"/>
      <c r="AI125" s="97"/>
      <c r="AJ125" s="97"/>
    </row>
    <row r="126" spans="22:36" x14ac:dyDescent="0.3">
      <c r="V126" s="95"/>
      <c r="W126" s="95"/>
      <c r="X126" s="95"/>
      <c r="Y126" s="97"/>
      <c r="Z126" s="97"/>
      <c r="AA126" s="97"/>
      <c r="AB126" s="97"/>
      <c r="AC126" s="97"/>
      <c r="AD126" s="97"/>
      <c r="AE126" s="97"/>
      <c r="AF126" s="97"/>
      <c r="AG126" s="97"/>
      <c r="AH126" s="97"/>
      <c r="AI126" s="97"/>
      <c r="AJ126" s="97"/>
    </row>
    <row r="127" spans="22:36" x14ac:dyDescent="0.3">
      <c r="V127" s="95"/>
      <c r="W127" s="95"/>
      <c r="X127" s="95"/>
      <c r="Y127" s="97"/>
      <c r="Z127" s="97"/>
      <c r="AA127" s="97"/>
      <c r="AB127" s="97"/>
      <c r="AC127" s="97"/>
      <c r="AD127" s="97"/>
      <c r="AE127" s="97"/>
      <c r="AF127" s="97"/>
      <c r="AG127" s="97"/>
      <c r="AH127" s="97"/>
      <c r="AI127" s="97"/>
      <c r="AJ127" s="97"/>
    </row>
    <row r="128" spans="22:36" x14ac:dyDescent="0.3">
      <c r="V128" s="95"/>
      <c r="W128" s="95"/>
      <c r="X128" s="95"/>
      <c r="Y128" s="97"/>
      <c r="Z128" s="97"/>
      <c r="AA128" s="97"/>
      <c r="AB128" s="97"/>
      <c r="AC128" s="97"/>
      <c r="AD128" s="97"/>
      <c r="AE128" s="97"/>
      <c r="AF128" s="97"/>
      <c r="AG128" s="97"/>
      <c r="AH128" s="97"/>
      <c r="AI128" s="97"/>
      <c r="AJ128" s="97"/>
    </row>
    <row r="129" spans="22:36" x14ac:dyDescent="0.3">
      <c r="V129" s="95"/>
      <c r="W129" s="95"/>
      <c r="X129" s="95"/>
      <c r="Y129" s="97"/>
      <c r="Z129" s="97"/>
      <c r="AA129" s="97"/>
      <c r="AB129" s="97"/>
      <c r="AC129" s="97"/>
      <c r="AD129" s="97"/>
      <c r="AE129" s="97"/>
      <c r="AF129" s="97"/>
      <c r="AG129" s="97"/>
      <c r="AH129" s="97"/>
      <c r="AI129" s="97"/>
      <c r="AJ129" s="97"/>
    </row>
    <row r="132" spans="22:36" x14ac:dyDescent="0.3">
      <c r="W132" s="95"/>
      <c r="X132" s="95"/>
    </row>
    <row r="133" spans="22:36" x14ac:dyDescent="0.3">
      <c r="V133" s="95"/>
      <c r="W133" s="95"/>
      <c r="X133" s="95"/>
    </row>
    <row r="134" spans="22:36" x14ac:dyDescent="0.3">
      <c r="V134" s="95"/>
      <c r="W134" s="95"/>
      <c r="X134" s="95"/>
    </row>
    <row r="135" spans="22:36" x14ac:dyDescent="0.3">
      <c r="V135" s="95"/>
      <c r="W135" s="95"/>
      <c r="X135" s="95"/>
    </row>
    <row r="136" spans="22:36" x14ac:dyDescent="0.3">
      <c r="V136" s="95"/>
      <c r="W136" s="95"/>
      <c r="X136" s="95"/>
    </row>
    <row r="137" spans="22:36" x14ac:dyDescent="0.3">
      <c r="V137" s="95"/>
      <c r="W137" s="95"/>
      <c r="X137" s="95"/>
    </row>
    <row r="138" spans="22:36" x14ac:dyDescent="0.3">
      <c r="V138" s="95"/>
      <c r="W138" s="95"/>
      <c r="X138" s="95"/>
    </row>
    <row r="139" spans="22:36" x14ac:dyDescent="0.3">
      <c r="V139" s="95"/>
      <c r="W139" s="95"/>
      <c r="X139" s="95"/>
    </row>
    <row r="140" spans="22:36" x14ac:dyDescent="0.3">
      <c r="V140" s="95"/>
      <c r="W140" s="95"/>
      <c r="X140" s="94"/>
    </row>
    <row r="141" spans="22:36" x14ac:dyDescent="0.3">
      <c r="V141" s="95" t="str">
        <f>IF($X141&lt;&gt;"",MAX(V$132:V140)+1,"")</f>
        <v/>
      </c>
      <c r="W141" s="95" t="s">
        <v>42</v>
      </c>
      <c r="X141" s="95" t="str">
        <f>IF(手引き!$C$74="○","時から運送を終わるまでの時間による。","")</f>
        <v/>
      </c>
    </row>
    <row r="142" spans="22:36" x14ac:dyDescent="0.3">
      <c r="V142" s="95" t="str">
        <f>IF($X142&lt;&gt;"",MAX(V$132:V141)+1,"")</f>
        <v/>
      </c>
      <c r="W142" s="95" t="str">
        <f>IF(X142="","","・")</f>
        <v/>
      </c>
      <c r="X142" s="94" t="str">
        <f>IF(手引き!$C$74="○","時間制運賃は"&amp;手引き!$G$76&amp;"分単位とし、"&amp;手引き!$G$76&amp;"分未満の端数が生じた場合は、切り上げるものとする。","")</f>
        <v/>
      </c>
    </row>
    <row r="143" spans="22:36" x14ac:dyDescent="0.3">
      <c r="V143" s="95" t="str">
        <f>IF($X143&lt;&gt;"",MAX(V$132:V142)+1,"")</f>
        <v/>
      </c>
      <c r="W143" s="95" t="str">
        <f>IF(X143="","","・")</f>
        <v/>
      </c>
      <c r="X143" s="94" t="str">
        <f>IF(手引き!$C$74="○","時間制による契約の場合は、メーター器にカバーを用い前面に「貸切」の表示をする。",IF(手引き!$C$79="○","定額運賃による契約の場合は、メーター器にカバーを用い前面に「定額」の表示をする。",""))</f>
        <v/>
      </c>
    </row>
    <row r="144" spans="22:36" x14ac:dyDescent="0.3">
      <c r="V144" s="95" t="str">
        <f>IF($X144&lt;&gt;"",MAX(V$132:V143)+1,"")</f>
        <v/>
      </c>
      <c r="W144" s="95" t="s">
        <v>42</v>
      </c>
      <c r="X144" s="95"/>
    </row>
    <row r="145" spans="22:25" x14ac:dyDescent="0.3">
      <c r="V145" s="95" t="str">
        <f>IF($X145&lt;&gt;"",MAX(V$132:V144)+1,"")</f>
        <v/>
      </c>
    </row>
    <row r="146" spans="22:25" x14ac:dyDescent="0.3">
      <c r="Y146" s="90"/>
    </row>
    <row r="147" spans="22:25" x14ac:dyDescent="0.3">
      <c r="Y147" s="90"/>
    </row>
    <row r="148" spans="22:25" x14ac:dyDescent="0.3">
      <c r="Y148" s="93"/>
    </row>
    <row r="150" spans="22:25" x14ac:dyDescent="0.3">
      <c r="Y150" s="90"/>
    </row>
    <row r="151" spans="22:25" x14ac:dyDescent="0.3">
      <c r="Y151" s="90"/>
    </row>
    <row r="152" spans="22:25" x14ac:dyDescent="0.3">
      <c r="Y152" s="90"/>
    </row>
    <row r="153" spans="22:25" x14ac:dyDescent="0.3">
      <c r="Y153" s="90"/>
    </row>
    <row r="154" spans="22:25" x14ac:dyDescent="0.3">
      <c r="Y154" s="93"/>
    </row>
  </sheetData>
  <sheetProtection algorithmName="SHA-512" hashValue="im0gciJdLqwMNUH19MDPtR1I2agMruqgTPt9H3BjY1O2XYzPPYnhOxu2UrCGrrjht00gUSwOtmULSppSK/xBpA==" saltValue="rbAgD0e7ViHS0LTlzsApEA==" spinCount="100000" sheet="1" formatCells="0" formatColumns="0" formatRows="0" insertColumns="0" insertRows="0" insertHyperlinks="0" deleteColumns="0" deleteRows="0" sort="0" autoFilter="0" pivotTables="0"/>
  <mergeCells count="43">
    <mergeCell ref="I2:K2"/>
    <mergeCell ref="P25:S25"/>
    <mergeCell ref="B1:K1"/>
    <mergeCell ref="D60:J60"/>
    <mergeCell ref="B12:C12"/>
    <mergeCell ref="B11:C11"/>
    <mergeCell ref="I8:K8"/>
    <mergeCell ref="D10:K10"/>
    <mergeCell ref="D11:K11"/>
    <mergeCell ref="D12:K12"/>
    <mergeCell ref="I47:K47"/>
    <mergeCell ref="D14:K14"/>
    <mergeCell ref="D13:K13"/>
    <mergeCell ref="D15:K15"/>
    <mergeCell ref="I42:K42"/>
    <mergeCell ref="B20:D20"/>
    <mergeCell ref="D9:K9"/>
    <mergeCell ref="E20:K20"/>
    <mergeCell ref="B57:C57"/>
    <mergeCell ref="B59:C59"/>
    <mergeCell ref="B58:C58"/>
    <mergeCell ref="D57:J57"/>
    <mergeCell ref="D58:J58"/>
    <mergeCell ref="D59:J59"/>
    <mergeCell ref="B9:C9"/>
    <mergeCell ref="B14:C14"/>
    <mergeCell ref="B15:C15"/>
    <mergeCell ref="B13:C13"/>
    <mergeCell ref="B10:C10"/>
    <mergeCell ref="B43:C43"/>
    <mergeCell ref="I17:K17"/>
    <mergeCell ref="I39:K39"/>
    <mergeCell ref="I26:K26"/>
    <mergeCell ref="I22:K22"/>
    <mergeCell ref="D63:K63"/>
    <mergeCell ref="B63:C63"/>
    <mergeCell ref="B60:C60"/>
    <mergeCell ref="I74:K74"/>
    <mergeCell ref="I79:K79"/>
    <mergeCell ref="I56:K56"/>
    <mergeCell ref="I62:K62"/>
    <mergeCell ref="I64:K64"/>
    <mergeCell ref="I65:K65"/>
  </mergeCells>
  <phoneticPr fontId="1"/>
  <conditionalFormatting sqref="B43:C43">
    <cfRule type="cellIs" dxfId="104" priority="27" operator="equal">
      <formula>""</formula>
    </cfRule>
  </conditionalFormatting>
  <conditionalFormatting sqref="B57:C60">
    <cfRule type="cellIs" dxfId="103" priority="46" operator="equal">
      <formula>""</formula>
    </cfRule>
  </conditionalFormatting>
  <conditionalFormatting sqref="B63:C63">
    <cfRule type="cellIs" dxfId="102" priority="45" operator="equal">
      <formula>""</formula>
    </cfRule>
  </conditionalFormatting>
  <conditionalFormatting sqref="C18:C19">
    <cfRule type="expression" dxfId="101" priority="48">
      <formula>$C$18="○"</formula>
    </cfRule>
    <cfRule type="expression" dxfId="100" priority="49">
      <formula>$C$19="○"</formula>
    </cfRule>
  </conditionalFormatting>
  <conditionalFormatting sqref="C23:C24">
    <cfRule type="expression" dxfId="99" priority="53">
      <formula>$C$23="○"</formula>
    </cfRule>
    <cfRule type="expression" dxfId="98" priority="52">
      <formula>$C$24="○"</formula>
    </cfRule>
  </conditionalFormatting>
  <conditionalFormatting sqref="C27:C31 C35:C37">
    <cfRule type="expression" dxfId="97" priority="155">
      <formula>COUNTIF($C$27:$C$37,"○")=1</formula>
    </cfRule>
  </conditionalFormatting>
  <conditionalFormatting sqref="C44:C45">
    <cfRule type="expression" dxfId="96" priority="25">
      <formula>$B$43="短縮する"</formula>
    </cfRule>
    <cfRule type="cellIs" dxfId="95" priority="23" operator="greaterThan">
      <formula>0</formula>
    </cfRule>
  </conditionalFormatting>
  <conditionalFormatting sqref="C48:C50">
    <cfRule type="expression" dxfId="94" priority="56">
      <formula>$C$24="○"</formula>
    </cfRule>
  </conditionalFormatting>
  <conditionalFormatting sqref="C48:C54">
    <cfRule type="expression" dxfId="93" priority="89">
      <formula>COUNTIF($C$48:$C$54,"○")=1</formula>
    </cfRule>
  </conditionalFormatting>
  <conditionalFormatting sqref="C65">
    <cfRule type="expression" dxfId="92" priority="75">
      <formula>$B$63="設定する"</formula>
    </cfRule>
    <cfRule type="expression" dxfId="91" priority="68" stopIfTrue="1">
      <formula>$C$74="○"</formula>
    </cfRule>
    <cfRule type="expression" dxfId="90" priority="67" stopIfTrue="1">
      <formula>$C$79="○"</formula>
    </cfRule>
  </conditionalFormatting>
  <conditionalFormatting sqref="C74">
    <cfRule type="expression" dxfId="89" priority="74">
      <formula>$B$63="設定する"</formula>
    </cfRule>
    <cfRule type="expression" dxfId="88" priority="72" stopIfTrue="1">
      <formula>$C$65="○"</formula>
    </cfRule>
    <cfRule type="expression" dxfId="87" priority="71" stopIfTrue="1">
      <formula>$C$79="○"</formula>
    </cfRule>
  </conditionalFormatting>
  <conditionalFormatting sqref="C79">
    <cfRule type="expression" dxfId="86" priority="73">
      <formula>$B$63="設定する"</formula>
    </cfRule>
    <cfRule type="expression" dxfId="85" priority="70" stopIfTrue="1">
      <formula>$C$65="○"</formula>
    </cfRule>
    <cfRule type="expression" dxfId="84" priority="69" stopIfTrue="1">
      <formula>$C$74="○"</formula>
    </cfRule>
  </conditionalFormatting>
  <conditionalFormatting sqref="D9:K13">
    <cfRule type="cellIs" dxfId="83" priority="44" operator="equal">
      <formula>""</formula>
    </cfRule>
  </conditionalFormatting>
  <conditionalFormatting sqref="E66:J71">
    <cfRule type="expression" dxfId="82" priority="22">
      <formula>$C$65="○"</formula>
    </cfRule>
  </conditionalFormatting>
  <conditionalFormatting sqref="E75:J78">
    <cfRule type="expression" dxfId="81" priority="21">
      <formula>$C$74="○"</formula>
    </cfRule>
  </conditionalFormatting>
  <conditionalFormatting sqref="E80:J83">
    <cfRule type="expression" dxfId="80" priority="20">
      <formula>$C$79="○"</formula>
    </cfRule>
  </conditionalFormatting>
  <conditionalFormatting sqref="E20:K20">
    <cfRule type="expression" dxfId="79" priority="19">
      <formula>$E$20&lt;&gt;""</formula>
    </cfRule>
    <cfRule type="expression" dxfId="78" priority="93">
      <formula>$C$19="○"</formula>
    </cfRule>
  </conditionalFormatting>
  <conditionalFormatting sqref="F50">
    <cfRule type="expression" dxfId="77" priority="3">
      <formula>$E$50=""</formula>
    </cfRule>
    <cfRule type="expression" dxfId="76" priority="18">
      <formula>$P$35=0</formula>
    </cfRule>
  </conditionalFormatting>
  <conditionalFormatting sqref="F50:F52">
    <cfRule type="expression" dxfId="75" priority="36">
      <formula>$C$49="○"</formula>
    </cfRule>
    <cfRule type="expression" dxfId="74" priority="35">
      <formula>F50&gt;0</formula>
    </cfRule>
  </conditionalFormatting>
  <conditionalFormatting sqref="F51">
    <cfRule type="expression" dxfId="73" priority="2">
      <formula>$E$51=""</formula>
    </cfRule>
    <cfRule type="expression" dxfId="72" priority="17">
      <formula>$Q$35=0</formula>
    </cfRule>
  </conditionalFormatting>
  <conditionalFormatting sqref="F52">
    <cfRule type="expression" dxfId="71" priority="1">
      <formula>$E$52=""</formula>
    </cfRule>
    <cfRule type="expression" dxfId="70" priority="16">
      <formula>$R$35=0</formula>
    </cfRule>
  </conditionalFormatting>
  <conditionalFormatting sqref="G66:G67 I66:I67">
    <cfRule type="expression" dxfId="69" priority="6" stopIfTrue="1">
      <formula>$E$66=""</formula>
    </cfRule>
  </conditionalFormatting>
  <conditionalFormatting sqref="G66:G71">
    <cfRule type="expression" dxfId="68" priority="43">
      <formula>$C$65="○"</formula>
    </cfRule>
  </conditionalFormatting>
  <conditionalFormatting sqref="G66:G73">
    <cfRule type="cellIs" dxfId="67" priority="14" operator="greaterThan">
      <formula>0</formula>
    </cfRule>
  </conditionalFormatting>
  <conditionalFormatting sqref="G72:G73 I72:I73">
    <cfRule type="expression" dxfId="66" priority="82" stopIfTrue="1">
      <formula>$E$72=""</formula>
    </cfRule>
  </conditionalFormatting>
  <conditionalFormatting sqref="G75 I75">
    <cfRule type="expression" dxfId="65" priority="5">
      <formula>$E$75=""</formula>
    </cfRule>
  </conditionalFormatting>
  <conditionalFormatting sqref="G75:G77">
    <cfRule type="expression" dxfId="64" priority="81">
      <formula>$C$74="○"</formula>
    </cfRule>
  </conditionalFormatting>
  <conditionalFormatting sqref="G75:G78 I75:I78">
    <cfRule type="cellIs" dxfId="63" priority="12" operator="greaterThan">
      <formula>0</formula>
    </cfRule>
  </conditionalFormatting>
  <conditionalFormatting sqref="G78 I78 I83">
    <cfRule type="expression" dxfId="62" priority="62">
      <formula>$E$83=""</formula>
    </cfRule>
  </conditionalFormatting>
  <conditionalFormatting sqref="G80 I80">
    <cfRule type="expression" dxfId="61" priority="4">
      <formula>$E$80=""</formula>
    </cfRule>
  </conditionalFormatting>
  <conditionalFormatting sqref="G80:G82 I80:I82">
    <cfRule type="cellIs" dxfId="60" priority="7" operator="greaterThan">
      <formula>0</formula>
    </cfRule>
  </conditionalFormatting>
  <conditionalFormatting sqref="I66:I71">
    <cfRule type="expression" dxfId="59" priority="42">
      <formula>$C$65="○"</formula>
    </cfRule>
  </conditionalFormatting>
  <conditionalFormatting sqref="I66:I73">
    <cfRule type="cellIs" dxfId="58" priority="13" operator="greaterThan">
      <formula>0</formula>
    </cfRule>
  </conditionalFormatting>
  <conditionalFormatting sqref="I75:I78">
    <cfRule type="expression" dxfId="57" priority="80">
      <formula>$C$74="○"</formula>
    </cfRule>
  </conditionalFormatting>
  <conditionalFormatting sqref="I80:I82">
    <cfRule type="expression" dxfId="56" priority="8">
      <formula>$C$79="○"</formula>
    </cfRule>
  </conditionalFormatting>
  <conditionalFormatting sqref="I81:I83">
    <cfRule type="cellIs" dxfId="55" priority="11" operator="greaterThan">
      <formula>0</formula>
    </cfRule>
    <cfRule type="expression" dxfId="54" priority="77">
      <formula>$C$79="○"</formula>
    </cfRule>
  </conditionalFormatting>
  <conditionalFormatting sqref="I8:K8">
    <cfRule type="cellIs" dxfId="53" priority="98" operator="equal">
      <formula>"入力内容を確認してください"</formula>
    </cfRule>
  </conditionalFormatting>
  <conditionalFormatting sqref="I17:K17">
    <cfRule type="cellIs" dxfId="52" priority="99" operator="equal">
      <formula>"入力内容を確認してください"</formula>
    </cfRule>
  </conditionalFormatting>
  <conditionalFormatting sqref="I22:K22">
    <cfRule type="cellIs" dxfId="51" priority="100" operator="equal">
      <formula>"入力内容を確認してください"</formula>
    </cfRule>
  </conditionalFormatting>
  <conditionalFormatting sqref="I26:K26 L64:L66">
    <cfRule type="cellIs" dxfId="50" priority="101" operator="equal">
      <formula>"入力内容を確認してください"</formula>
    </cfRule>
  </conditionalFormatting>
  <conditionalFormatting sqref="I39:K39">
    <cfRule type="cellIs" dxfId="49" priority="88" operator="equal">
      <formula>"入力内容を確認してください"</formula>
    </cfRule>
  </conditionalFormatting>
  <conditionalFormatting sqref="I42:K42">
    <cfRule type="cellIs" dxfId="48" priority="28" operator="equal">
      <formula>"入力内容を確認してください"</formula>
    </cfRule>
  </conditionalFormatting>
  <conditionalFormatting sqref="I47:K47">
    <cfRule type="cellIs" dxfId="47" priority="97" operator="equal">
      <formula>"入力内容を確認してください"</formula>
    </cfRule>
  </conditionalFormatting>
  <conditionalFormatting sqref="I56:K56">
    <cfRule type="cellIs" dxfId="46" priority="96" operator="equal">
      <formula>"入力内容を確認してください"</formula>
    </cfRule>
  </conditionalFormatting>
  <conditionalFormatting sqref="I62:K62">
    <cfRule type="cellIs" dxfId="45" priority="95" operator="equal">
      <formula>"入力内容を確認してください"</formula>
    </cfRule>
  </conditionalFormatting>
  <conditionalFormatting sqref="I64:K65 K66:K67">
    <cfRule type="cellIs" dxfId="44" priority="65" operator="equal">
      <formula>"入力内容を確認してください"</formula>
    </cfRule>
  </conditionalFormatting>
  <conditionalFormatting sqref="I74:K74 K75">
    <cfRule type="cellIs" dxfId="43" priority="64" operator="equal">
      <formula>"入力内容を確認してください"</formula>
    </cfRule>
  </conditionalFormatting>
  <conditionalFormatting sqref="I79:K79 K80">
    <cfRule type="cellIs" dxfId="42" priority="63" operator="equal">
      <formula>"入力内容を確認してください"</formula>
    </cfRule>
  </conditionalFormatting>
  <dataValidations count="4">
    <dataValidation allowBlank="1" showInputMessage="1" showErrorMessage="1" prompt="例）旅客からの要望のため 　　　消費税改正に対応するため" sqref="E20:K20" xr:uid="{00000000-0002-0000-0000-000000000000}"/>
    <dataValidation type="date" operator="greaterThanOrEqual" allowBlank="1" showInputMessage="1" showErrorMessage="1" sqref="D9:K9" xr:uid="{00000000-0002-0000-0000-000001000000}">
      <formula1>43922</formula1>
    </dataValidation>
    <dataValidation type="whole" operator="greaterThanOrEqual" allowBlank="1" showInputMessage="1" showErrorMessage="1" sqref="F50:F53 G71 I67:I73 G76:G78 I76:I78 I81:I83 G73 G69 G67 G81:G83" xr:uid="{00000000-0002-0000-0000-000002000000}">
      <formula1>0</formula1>
    </dataValidation>
    <dataValidation type="decimal" operator="greaterThanOrEqual" allowBlank="1" showInputMessage="1" showErrorMessage="1" sqref="G70 G72 G68 G66 I66 G75 I75 G80 I80" xr:uid="{00000000-0002-0000-0000-000003000000}">
      <formula1>0</formula1>
    </dataValidation>
  </dataValidations>
  <hyperlinks>
    <hyperlink ref="D88" location="申請書表紙!A1" display="申請書表紙!A1" xr:uid="{00000000-0004-0000-0000-000000000000}"/>
    <hyperlink ref="O12" location="名前2!A1" display="名前2!A1" xr:uid="{B3CD441A-902C-4370-9974-61275B274AA8}"/>
  </hyperlinks>
  <pageMargins left="0.7" right="0.7" top="0.75" bottom="0.75" header="0.3" footer="0.3"/>
  <pageSetup paperSize="9" scale="75" fitToHeight="0" orientation="portrait" r:id="rId1"/>
  <rowBreaks count="1" manualBreakCount="1">
    <brk id="61" max="10"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名前2!$A$1:$A$2</xm:f>
          </x14:formula1>
          <xm:sqref>B57:B60 C55 B63</xm:sqref>
        </x14:dataValidation>
        <x14:dataValidation type="list" allowBlank="1" showInputMessage="1" showErrorMessage="1" xr:uid="{00000000-0002-0000-0000-000005000000}">
          <x14:formula1>
            <xm:f>名前2!$B$1:$B$2</xm:f>
          </x14:formula1>
          <xm:sqref>C23:C24 C74 C54 C48:C50 C18:C19 C65 C79 C35:C37 C27:C31</xm:sqref>
        </x14:dataValidation>
        <x14:dataValidation type="list" allowBlank="1" showInputMessage="1" xr:uid="{00000000-0002-0000-0000-000007000000}">
          <x14:formula1>
            <xm:f>名前2!$B$11:$B$14</xm:f>
          </x14:formula1>
          <xm:sqref>C44:C45</xm:sqref>
        </x14:dataValidation>
        <x14:dataValidation type="list" allowBlank="1" showInputMessage="1" showErrorMessage="1" xr:uid="{00000000-0002-0000-0000-000008000000}">
          <x14:formula1>
            <xm:f>名前2!$A$3:$A$4</xm:f>
          </x14:formula1>
          <xm:sqref>B43:C43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C53"/>
  <sheetViews>
    <sheetView view="pageBreakPreview" zoomScaleNormal="100" zoomScaleSheetLayoutView="100" workbookViewId="0">
      <selection activeCell="AC35" sqref="AC35"/>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88671875" style="1" customWidth="1"/>
    <col min="19" max="19" width="7.6640625" style="1" customWidth="1"/>
    <col min="20" max="20" width="3.88671875" style="1" customWidth="1"/>
    <col min="21"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88671875" style="1" customWidth="1"/>
    <col min="275" max="275" width="7.6640625" style="1" customWidth="1"/>
    <col min="276" max="276" width="3.88671875" style="1" customWidth="1"/>
    <col min="277" max="277" width="9"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88671875" style="1" customWidth="1"/>
    <col min="531" max="531" width="7.6640625" style="1" customWidth="1"/>
    <col min="532" max="532" width="3.88671875" style="1" customWidth="1"/>
    <col min="533" max="533" width="9"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88671875" style="1" customWidth="1"/>
    <col min="787" max="787" width="7.6640625" style="1" customWidth="1"/>
    <col min="788" max="788" width="3.88671875" style="1" customWidth="1"/>
    <col min="789" max="789" width="9"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88671875" style="1" customWidth="1"/>
    <col min="1043" max="1043" width="7.6640625" style="1" customWidth="1"/>
    <col min="1044" max="1044" width="3.88671875" style="1" customWidth="1"/>
    <col min="1045" max="1045" width="9"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88671875" style="1" customWidth="1"/>
    <col min="1299" max="1299" width="7.6640625" style="1" customWidth="1"/>
    <col min="1300" max="1300" width="3.88671875" style="1" customWidth="1"/>
    <col min="1301" max="1301" width="9"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88671875" style="1" customWidth="1"/>
    <col min="1555" max="1555" width="7.6640625" style="1" customWidth="1"/>
    <col min="1556" max="1556" width="3.88671875" style="1" customWidth="1"/>
    <col min="1557" max="1557" width="9"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88671875" style="1" customWidth="1"/>
    <col min="1811" max="1811" width="7.6640625" style="1" customWidth="1"/>
    <col min="1812" max="1812" width="3.88671875" style="1" customWidth="1"/>
    <col min="1813" max="1813" width="9"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88671875" style="1" customWidth="1"/>
    <col min="2067" max="2067" width="7.6640625" style="1" customWidth="1"/>
    <col min="2068" max="2068" width="3.88671875" style="1" customWidth="1"/>
    <col min="2069" max="2069" width="9"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88671875" style="1" customWidth="1"/>
    <col min="2323" max="2323" width="7.6640625" style="1" customWidth="1"/>
    <col min="2324" max="2324" width="3.88671875" style="1" customWidth="1"/>
    <col min="2325" max="2325" width="9"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88671875" style="1" customWidth="1"/>
    <col min="2579" max="2579" width="7.6640625" style="1" customWidth="1"/>
    <col min="2580" max="2580" width="3.88671875" style="1" customWidth="1"/>
    <col min="2581" max="2581" width="9"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88671875" style="1" customWidth="1"/>
    <col min="2835" max="2835" width="7.6640625" style="1" customWidth="1"/>
    <col min="2836" max="2836" width="3.88671875" style="1" customWidth="1"/>
    <col min="2837" max="2837" width="9"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88671875" style="1" customWidth="1"/>
    <col min="3091" max="3091" width="7.6640625" style="1" customWidth="1"/>
    <col min="3092" max="3092" width="3.88671875" style="1" customWidth="1"/>
    <col min="3093" max="3093" width="9"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88671875" style="1" customWidth="1"/>
    <col min="3347" max="3347" width="7.6640625" style="1" customWidth="1"/>
    <col min="3348" max="3348" width="3.88671875" style="1" customWidth="1"/>
    <col min="3349" max="3349" width="9"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88671875" style="1" customWidth="1"/>
    <col min="3603" max="3603" width="7.6640625" style="1" customWidth="1"/>
    <col min="3604" max="3604" width="3.88671875" style="1" customWidth="1"/>
    <col min="3605" max="3605" width="9"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88671875" style="1" customWidth="1"/>
    <col min="3859" max="3859" width="7.6640625" style="1" customWidth="1"/>
    <col min="3860" max="3860" width="3.88671875" style="1" customWidth="1"/>
    <col min="3861" max="3861" width="9"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88671875" style="1" customWidth="1"/>
    <col min="4115" max="4115" width="7.6640625" style="1" customWidth="1"/>
    <col min="4116" max="4116" width="3.88671875" style="1" customWidth="1"/>
    <col min="4117" max="4117" width="9"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88671875" style="1" customWidth="1"/>
    <col min="4371" max="4371" width="7.6640625" style="1" customWidth="1"/>
    <col min="4372" max="4372" width="3.88671875" style="1" customWidth="1"/>
    <col min="4373" max="4373" width="9"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88671875" style="1" customWidth="1"/>
    <col min="4627" max="4627" width="7.6640625" style="1" customWidth="1"/>
    <col min="4628" max="4628" width="3.88671875" style="1" customWidth="1"/>
    <col min="4629" max="4629" width="9"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88671875" style="1" customWidth="1"/>
    <col min="4883" max="4883" width="7.6640625" style="1" customWidth="1"/>
    <col min="4884" max="4884" width="3.88671875" style="1" customWidth="1"/>
    <col min="4885" max="4885" width="9"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88671875" style="1" customWidth="1"/>
    <col min="5139" max="5139" width="7.6640625" style="1" customWidth="1"/>
    <col min="5140" max="5140" width="3.88671875" style="1" customWidth="1"/>
    <col min="5141" max="5141" width="9"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88671875" style="1" customWidth="1"/>
    <col min="5395" max="5395" width="7.6640625" style="1" customWidth="1"/>
    <col min="5396" max="5396" width="3.88671875" style="1" customWidth="1"/>
    <col min="5397" max="5397" width="9"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88671875" style="1" customWidth="1"/>
    <col min="5651" max="5651" width="7.6640625" style="1" customWidth="1"/>
    <col min="5652" max="5652" width="3.88671875" style="1" customWidth="1"/>
    <col min="5653" max="5653" width="9"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88671875" style="1" customWidth="1"/>
    <col min="5907" max="5907" width="7.6640625" style="1" customWidth="1"/>
    <col min="5908" max="5908" width="3.88671875" style="1" customWidth="1"/>
    <col min="5909" max="5909" width="9"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88671875" style="1" customWidth="1"/>
    <col min="6163" max="6163" width="7.6640625" style="1" customWidth="1"/>
    <col min="6164" max="6164" width="3.88671875" style="1" customWidth="1"/>
    <col min="6165" max="6165" width="9"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88671875" style="1" customWidth="1"/>
    <col min="6419" max="6419" width="7.6640625" style="1" customWidth="1"/>
    <col min="6420" max="6420" width="3.88671875" style="1" customWidth="1"/>
    <col min="6421" max="6421" width="9"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88671875" style="1" customWidth="1"/>
    <col min="6675" max="6675" width="7.6640625" style="1" customWidth="1"/>
    <col min="6676" max="6676" width="3.88671875" style="1" customWidth="1"/>
    <col min="6677" max="6677" width="9"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88671875" style="1" customWidth="1"/>
    <col min="6931" max="6931" width="7.6640625" style="1" customWidth="1"/>
    <col min="6932" max="6932" width="3.88671875" style="1" customWidth="1"/>
    <col min="6933" max="6933" width="9"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88671875" style="1" customWidth="1"/>
    <col min="7187" max="7187" width="7.6640625" style="1" customWidth="1"/>
    <col min="7188" max="7188" width="3.88671875" style="1" customWidth="1"/>
    <col min="7189" max="7189" width="9"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88671875" style="1" customWidth="1"/>
    <col min="7443" max="7443" width="7.6640625" style="1" customWidth="1"/>
    <col min="7444" max="7444" width="3.88671875" style="1" customWidth="1"/>
    <col min="7445" max="7445" width="9"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88671875" style="1" customWidth="1"/>
    <col min="7699" max="7699" width="7.6640625" style="1" customWidth="1"/>
    <col min="7700" max="7700" width="3.88671875" style="1" customWidth="1"/>
    <col min="7701" max="7701" width="9"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88671875" style="1" customWidth="1"/>
    <col min="7955" max="7955" width="7.6640625" style="1" customWidth="1"/>
    <col min="7956" max="7956" width="3.88671875" style="1" customWidth="1"/>
    <col min="7957" max="7957" width="9"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88671875" style="1" customWidth="1"/>
    <col min="8211" max="8211" width="7.6640625" style="1" customWidth="1"/>
    <col min="8212" max="8212" width="3.88671875" style="1" customWidth="1"/>
    <col min="8213" max="8213" width="9"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88671875" style="1" customWidth="1"/>
    <col min="8467" max="8467" width="7.6640625" style="1" customWidth="1"/>
    <col min="8468" max="8468" width="3.88671875" style="1" customWidth="1"/>
    <col min="8469" max="8469" width="9"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88671875" style="1" customWidth="1"/>
    <col min="8723" max="8723" width="7.6640625" style="1" customWidth="1"/>
    <col min="8724" max="8724" width="3.88671875" style="1" customWidth="1"/>
    <col min="8725" max="8725" width="9"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88671875" style="1" customWidth="1"/>
    <col min="8979" max="8979" width="7.6640625" style="1" customWidth="1"/>
    <col min="8980" max="8980" width="3.88671875" style="1" customWidth="1"/>
    <col min="8981" max="8981" width="9"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88671875" style="1" customWidth="1"/>
    <col min="9235" max="9235" width="7.6640625" style="1" customWidth="1"/>
    <col min="9236" max="9236" width="3.88671875" style="1" customWidth="1"/>
    <col min="9237" max="9237" width="9"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88671875" style="1" customWidth="1"/>
    <col min="9491" max="9491" width="7.6640625" style="1" customWidth="1"/>
    <col min="9492" max="9492" width="3.88671875" style="1" customWidth="1"/>
    <col min="9493" max="9493" width="9"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88671875" style="1" customWidth="1"/>
    <col min="9747" max="9747" width="7.6640625" style="1" customWidth="1"/>
    <col min="9748" max="9748" width="3.88671875" style="1" customWidth="1"/>
    <col min="9749" max="9749" width="9"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88671875" style="1" customWidth="1"/>
    <col min="10003" max="10003" width="7.6640625" style="1" customWidth="1"/>
    <col min="10004" max="10004" width="3.88671875" style="1" customWidth="1"/>
    <col min="10005" max="10005" width="9"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88671875" style="1" customWidth="1"/>
    <col min="10259" max="10259" width="7.6640625" style="1" customWidth="1"/>
    <col min="10260" max="10260" width="3.88671875" style="1" customWidth="1"/>
    <col min="10261" max="10261" width="9"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88671875" style="1" customWidth="1"/>
    <col min="10515" max="10515" width="7.6640625" style="1" customWidth="1"/>
    <col min="10516" max="10516" width="3.88671875" style="1" customWidth="1"/>
    <col min="10517" max="10517" width="9"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88671875" style="1" customWidth="1"/>
    <col min="10771" max="10771" width="7.6640625" style="1" customWidth="1"/>
    <col min="10772" max="10772" width="3.88671875" style="1" customWidth="1"/>
    <col min="10773" max="10773" width="9"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88671875" style="1" customWidth="1"/>
    <col min="11027" max="11027" width="7.6640625" style="1" customWidth="1"/>
    <col min="11028" max="11028" width="3.88671875" style="1" customWidth="1"/>
    <col min="11029" max="11029" width="9"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88671875" style="1" customWidth="1"/>
    <col min="11283" max="11283" width="7.6640625" style="1" customWidth="1"/>
    <col min="11284" max="11284" width="3.88671875" style="1" customWidth="1"/>
    <col min="11285" max="11285" width="9"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88671875" style="1" customWidth="1"/>
    <col min="11539" max="11539" width="7.6640625" style="1" customWidth="1"/>
    <col min="11540" max="11540" width="3.88671875" style="1" customWidth="1"/>
    <col min="11541" max="11541" width="9"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88671875" style="1" customWidth="1"/>
    <col min="11795" max="11795" width="7.6640625" style="1" customWidth="1"/>
    <col min="11796" max="11796" width="3.88671875" style="1" customWidth="1"/>
    <col min="11797" max="11797" width="9"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88671875" style="1" customWidth="1"/>
    <col min="12051" max="12051" width="7.6640625" style="1" customWidth="1"/>
    <col min="12052" max="12052" width="3.88671875" style="1" customWidth="1"/>
    <col min="12053" max="12053" width="9"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88671875" style="1" customWidth="1"/>
    <col min="12307" max="12307" width="7.6640625" style="1" customWidth="1"/>
    <col min="12308" max="12308" width="3.88671875" style="1" customWidth="1"/>
    <col min="12309" max="12309" width="9"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88671875" style="1" customWidth="1"/>
    <col min="12563" max="12563" width="7.6640625" style="1" customWidth="1"/>
    <col min="12564" max="12564" width="3.88671875" style="1" customWidth="1"/>
    <col min="12565" max="12565" width="9"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88671875" style="1" customWidth="1"/>
    <col min="12819" max="12819" width="7.6640625" style="1" customWidth="1"/>
    <col min="12820" max="12820" width="3.88671875" style="1" customWidth="1"/>
    <col min="12821" max="12821" width="9"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88671875" style="1" customWidth="1"/>
    <col min="13075" max="13075" width="7.6640625" style="1" customWidth="1"/>
    <col min="13076" max="13076" width="3.88671875" style="1" customWidth="1"/>
    <col min="13077" max="13077" width="9"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88671875" style="1" customWidth="1"/>
    <col min="13331" max="13331" width="7.6640625" style="1" customWidth="1"/>
    <col min="13332" max="13332" width="3.88671875" style="1" customWidth="1"/>
    <col min="13333" max="13333" width="9"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88671875" style="1" customWidth="1"/>
    <col min="13587" max="13587" width="7.6640625" style="1" customWidth="1"/>
    <col min="13588" max="13588" width="3.88671875" style="1" customWidth="1"/>
    <col min="13589" max="13589" width="9"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88671875" style="1" customWidth="1"/>
    <col min="13843" max="13843" width="7.6640625" style="1" customWidth="1"/>
    <col min="13844" max="13844" width="3.88671875" style="1" customWidth="1"/>
    <col min="13845" max="13845" width="9"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88671875" style="1" customWidth="1"/>
    <col min="14099" max="14099" width="7.6640625" style="1" customWidth="1"/>
    <col min="14100" max="14100" width="3.88671875" style="1" customWidth="1"/>
    <col min="14101" max="14101" width="9"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88671875" style="1" customWidth="1"/>
    <col min="14355" max="14355" width="7.6640625" style="1" customWidth="1"/>
    <col min="14356" max="14356" width="3.88671875" style="1" customWidth="1"/>
    <col min="14357" max="14357" width="9"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88671875" style="1" customWidth="1"/>
    <col min="14611" max="14611" width="7.6640625" style="1" customWidth="1"/>
    <col min="14612" max="14612" width="3.88671875" style="1" customWidth="1"/>
    <col min="14613" max="14613" width="9"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88671875" style="1" customWidth="1"/>
    <col min="14867" max="14867" width="7.6640625" style="1" customWidth="1"/>
    <col min="14868" max="14868" width="3.88671875" style="1" customWidth="1"/>
    <col min="14869" max="14869" width="9"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88671875" style="1" customWidth="1"/>
    <col min="15123" max="15123" width="7.6640625" style="1" customWidth="1"/>
    <col min="15124" max="15124" width="3.88671875" style="1" customWidth="1"/>
    <col min="15125" max="15125" width="9"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88671875" style="1" customWidth="1"/>
    <col min="15379" max="15379" width="7.6640625" style="1" customWidth="1"/>
    <col min="15380" max="15380" width="3.88671875" style="1" customWidth="1"/>
    <col min="15381" max="15381" width="9"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88671875" style="1" customWidth="1"/>
    <col min="15635" max="15635" width="7.6640625" style="1" customWidth="1"/>
    <col min="15636" max="15636" width="3.88671875" style="1" customWidth="1"/>
    <col min="15637" max="15637" width="9"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88671875" style="1" customWidth="1"/>
    <col min="15891" max="15891" width="7.6640625" style="1" customWidth="1"/>
    <col min="15892" max="15892" width="3.88671875" style="1" customWidth="1"/>
    <col min="15893" max="15893" width="9"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88671875" style="1" customWidth="1"/>
    <col min="16147" max="16147" width="7.6640625" style="1" customWidth="1"/>
    <col min="16148" max="16148" width="3.88671875" style="1" customWidth="1"/>
    <col min="16149" max="16149" width="9" style="1" customWidth="1"/>
    <col min="16150" max="16384" width="9" style="1"/>
  </cols>
  <sheetData>
    <row r="1" spans="1:29" ht="13.5" customHeight="1" x14ac:dyDescent="0.2">
      <c r="A1" s="243"/>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row>
    <row r="2" spans="1:29" ht="13.5" customHeight="1" x14ac:dyDescent="0.2">
      <c r="A2" s="446"/>
      <c r="B2" s="549" t="s">
        <v>410</v>
      </c>
      <c r="C2" s="549"/>
      <c r="D2" s="549"/>
      <c r="E2" s="549"/>
      <c r="F2" s="549"/>
      <c r="G2" s="549"/>
      <c r="H2" s="549"/>
      <c r="I2" s="549"/>
      <c r="J2" s="549"/>
      <c r="K2" s="549"/>
      <c r="L2" s="549"/>
      <c r="M2" s="549"/>
      <c r="N2" s="549"/>
      <c r="O2" s="549"/>
      <c r="P2" s="549"/>
      <c r="Q2" s="549"/>
      <c r="R2" s="549"/>
      <c r="S2" s="187"/>
      <c r="T2" s="187"/>
      <c r="U2" s="187"/>
      <c r="V2" s="186"/>
      <c r="W2" s="186"/>
      <c r="X2" s="186"/>
      <c r="Y2" s="186"/>
      <c r="Z2" s="186"/>
      <c r="AA2" s="186"/>
      <c r="AB2" s="186"/>
      <c r="AC2" s="186"/>
    </row>
    <row r="3" spans="1:29" ht="13.5" customHeight="1" x14ac:dyDescent="0.2">
      <c r="A3" s="446"/>
      <c r="B3" s="187"/>
      <c r="C3" s="561" t="s">
        <v>324</v>
      </c>
      <c r="D3" s="561"/>
      <c r="E3" s="561"/>
      <c r="F3" s="561"/>
      <c r="G3" s="561"/>
      <c r="H3" s="561"/>
      <c r="I3" s="561"/>
      <c r="J3" s="561"/>
      <c r="K3" s="561"/>
      <c r="L3" s="561"/>
      <c r="M3" s="561"/>
      <c r="N3" s="561"/>
      <c r="O3" s="561"/>
      <c r="P3" s="561"/>
      <c r="Q3" s="561"/>
      <c r="R3" s="561"/>
      <c r="S3" s="561"/>
      <c r="T3" s="187"/>
      <c r="U3" s="187"/>
      <c r="V3" s="186"/>
      <c r="W3" s="186"/>
      <c r="X3" s="186"/>
      <c r="Y3" s="186"/>
      <c r="Z3" s="186"/>
      <c r="AA3" s="186"/>
      <c r="AB3" s="186"/>
      <c r="AC3" s="186"/>
    </row>
    <row r="4" spans="1:29" ht="13.5" customHeight="1" x14ac:dyDescent="0.2">
      <c r="A4" s="243" t="s">
        <v>1</v>
      </c>
      <c r="B4" s="186"/>
      <c r="C4" s="522" t="s">
        <v>478</v>
      </c>
      <c r="D4" s="522"/>
      <c r="E4" s="522"/>
      <c r="F4" s="522"/>
      <c r="G4" s="522"/>
      <c r="H4" s="522"/>
      <c r="I4" s="522"/>
      <c r="J4" s="522"/>
      <c r="K4" s="522"/>
      <c r="L4" s="522"/>
      <c r="M4" s="522"/>
      <c r="N4" s="522"/>
      <c r="O4" s="522"/>
      <c r="P4" s="522"/>
      <c r="Q4" s="522"/>
      <c r="R4" s="522"/>
      <c r="S4" s="522"/>
      <c r="T4" s="186"/>
      <c r="U4" s="186"/>
      <c r="V4" s="186"/>
      <c r="W4" s="186"/>
      <c r="X4" s="186"/>
      <c r="Y4" s="186"/>
      <c r="Z4" s="186"/>
      <c r="AA4" s="186"/>
      <c r="AB4" s="186" t="s">
        <v>319</v>
      </c>
      <c r="AC4" s="186"/>
    </row>
    <row r="5" spans="1:29" ht="13.5" customHeight="1" x14ac:dyDescent="0.2">
      <c r="A5" s="243"/>
      <c r="B5" s="186"/>
      <c r="C5" s="186"/>
      <c r="D5" s="188" t="s">
        <v>259</v>
      </c>
      <c r="E5" s="186"/>
      <c r="F5" s="186"/>
      <c r="G5" s="186"/>
      <c r="H5" s="189" t="str">
        <f>HYPERLINK("#手引き!B46","手引きへ戻る")</f>
        <v>手引きへ戻る</v>
      </c>
      <c r="I5" s="186"/>
      <c r="J5" s="186"/>
      <c r="K5" s="186"/>
      <c r="L5" s="186"/>
      <c r="M5" s="186"/>
      <c r="N5" s="186"/>
      <c r="O5" s="186"/>
      <c r="P5" s="186"/>
      <c r="Q5" s="186"/>
      <c r="R5" s="186"/>
      <c r="S5" s="186"/>
      <c r="T5" s="186"/>
      <c r="U5" s="186" t="s">
        <v>317</v>
      </c>
      <c r="V5" s="186"/>
      <c r="W5" s="239"/>
      <c r="X5" s="186"/>
      <c r="Y5" s="186"/>
      <c r="Z5" s="186"/>
      <c r="AA5" s="186"/>
      <c r="AB5" s="186" t="s">
        <v>322</v>
      </c>
      <c r="AC5" s="186" t="s">
        <v>323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190"/>
      <c r="V6" s="227"/>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50"/>
      <c r="C7" s="552" t="s">
        <v>3</v>
      </c>
      <c r="D7" s="552"/>
      <c r="E7" s="552"/>
      <c r="F7" s="552"/>
      <c r="G7" s="552"/>
      <c r="H7" s="553"/>
      <c r="I7" s="554" t="s">
        <v>4</v>
      </c>
      <c r="J7" s="555"/>
      <c r="K7" s="555"/>
      <c r="L7" s="555"/>
      <c r="M7" s="555"/>
      <c r="N7" s="556"/>
      <c r="O7" s="186"/>
      <c r="P7" s="550"/>
      <c r="Q7" s="562" t="s">
        <v>5</v>
      </c>
      <c r="R7" s="563"/>
      <c r="S7" s="563"/>
      <c r="T7" s="565"/>
      <c r="U7" s="550"/>
      <c r="V7" s="552" t="s">
        <v>5</v>
      </c>
      <c r="W7" s="560"/>
      <c r="X7" s="550"/>
      <c r="Y7" s="552" t="s">
        <v>5</v>
      </c>
      <c r="Z7" s="560"/>
      <c r="AA7" s="186"/>
      <c r="AB7" s="191"/>
      <c r="AC7" s="191" t="str">
        <f>HLOOKUP($AC$5,名前2!$C:$J,3,0)</f>
        <v>「普通自動車」という。）又は小型自動車（以下「小型</v>
      </c>
    </row>
    <row r="8" spans="1:29" ht="26.4" customHeight="1" thickBot="1" x14ac:dyDescent="0.25">
      <c r="A8" s="447" t="str">
        <f>IF(COUNTIF(A9:A15,"○")=0,"無","")</f>
        <v>無</v>
      </c>
      <c r="B8" s="551"/>
      <c r="C8" s="567" t="s">
        <v>398</v>
      </c>
      <c r="D8" s="568"/>
      <c r="E8" s="544" t="s">
        <v>6</v>
      </c>
      <c r="F8" s="545"/>
      <c r="G8" s="545"/>
      <c r="H8" s="546"/>
      <c r="I8" s="557"/>
      <c r="J8" s="558"/>
      <c r="K8" s="558"/>
      <c r="L8" s="558"/>
      <c r="M8" s="558"/>
      <c r="N8" s="559"/>
      <c r="O8" s="193" t="str">
        <f>IF(COUNTIF(O9:O15,"○")=0,"無","")</f>
        <v>無</v>
      </c>
      <c r="P8" s="551"/>
      <c r="Q8" s="542" t="s">
        <v>40</v>
      </c>
      <c r="R8" s="543"/>
      <c r="S8" s="592">
        <v>30</v>
      </c>
      <c r="T8" s="593"/>
      <c r="U8" s="551"/>
      <c r="V8" s="547">
        <v>15</v>
      </c>
      <c r="W8" s="548"/>
      <c r="X8" s="551"/>
      <c r="Y8" s="547">
        <v>10</v>
      </c>
      <c r="Z8" s="548"/>
      <c r="AA8" s="186"/>
      <c r="AB8" s="191"/>
      <c r="AC8" s="191" t="str">
        <f>HLOOKUP($AC$5,名前2!$C:$J,4,0)</f>
        <v>自動車」という。）のうち乗車定員が９名以上のもの。</v>
      </c>
    </row>
    <row r="9" spans="1:29" ht="16.5" customHeight="1" thickTop="1" x14ac:dyDescent="0.2">
      <c r="A9" s="448"/>
      <c r="B9" s="195" t="s">
        <v>8</v>
      </c>
      <c r="C9" s="196">
        <v>550</v>
      </c>
      <c r="D9" s="197" t="s">
        <v>9</v>
      </c>
      <c r="E9" s="198">
        <v>161</v>
      </c>
      <c r="F9" s="199" t="s">
        <v>10</v>
      </c>
      <c r="G9" s="200">
        <v>100</v>
      </c>
      <c r="H9" s="197" t="s">
        <v>9</v>
      </c>
      <c r="I9" s="201">
        <v>1</v>
      </c>
      <c r="J9" s="202" t="s">
        <v>11</v>
      </c>
      <c r="K9" s="203">
        <v>0</v>
      </c>
      <c r="L9" s="204" t="s">
        <v>12</v>
      </c>
      <c r="M9" s="205">
        <v>100</v>
      </c>
      <c r="N9" s="206" t="s">
        <v>9</v>
      </c>
      <c r="O9" s="185"/>
      <c r="P9" s="195" t="s">
        <v>8</v>
      </c>
      <c r="Q9" s="207">
        <v>7400</v>
      </c>
      <c r="R9" s="197" t="s">
        <v>9</v>
      </c>
      <c r="S9" s="270">
        <v>3700</v>
      </c>
      <c r="T9" s="206" t="s">
        <v>9</v>
      </c>
      <c r="U9" s="195" t="s">
        <v>8</v>
      </c>
      <c r="V9" s="234">
        <f>ROUNDDOWN($S9*$V$8/$S$8,-1)</f>
        <v>1850</v>
      </c>
      <c r="W9" s="232" t="s">
        <v>9</v>
      </c>
      <c r="X9" s="195" t="s">
        <v>8</v>
      </c>
      <c r="Y9" s="234">
        <f>ROUNDDOWN($S9*$Y$8/$S$8,-1)</f>
        <v>1230</v>
      </c>
      <c r="Z9" s="232" t="s">
        <v>9</v>
      </c>
      <c r="AA9" s="186"/>
      <c r="AB9" s="191" t="str">
        <f>HLOOKUP($AB$5,名前2!$C:$J,5,0)</f>
        <v>大　型　車</v>
      </c>
      <c r="AC9" s="191" t="str">
        <f>HLOOKUP($AC$5,名前2!$C:$J,5,0)</f>
        <v>普通自動車のうち排気量が２リットル（ハイブリッド自</v>
      </c>
    </row>
    <row r="10" spans="1:29" ht="16.5" customHeight="1" x14ac:dyDescent="0.2">
      <c r="A10" s="448"/>
      <c r="B10" s="228" t="s">
        <v>13</v>
      </c>
      <c r="C10" s="229">
        <v>540</v>
      </c>
      <c r="D10" s="230" t="s">
        <v>9</v>
      </c>
      <c r="E10" s="231">
        <v>164</v>
      </c>
      <c r="F10" s="229" t="s">
        <v>10</v>
      </c>
      <c r="G10" s="229">
        <v>100</v>
      </c>
      <c r="H10" s="230" t="s">
        <v>9</v>
      </c>
      <c r="I10" s="201">
        <v>1</v>
      </c>
      <c r="J10" s="202" t="s">
        <v>11</v>
      </c>
      <c r="K10" s="203">
        <v>0</v>
      </c>
      <c r="L10" s="204" t="s">
        <v>12</v>
      </c>
      <c r="M10" s="229">
        <v>100</v>
      </c>
      <c r="N10" s="232" t="s">
        <v>9</v>
      </c>
      <c r="O10" s="185"/>
      <c r="P10" s="228" t="s">
        <v>13</v>
      </c>
      <c r="Q10" s="233">
        <v>7280</v>
      </c>
      <c r="R10" s="230" t="s">
        <v>9</v>
      </c>
      <c r="S10" s="271">
        <v>3640</v>
      </c>
      <c r="T10" s="232" t="s">
        <v>9</v>
      </c>
      <c r="U10" s="370" t="s">
        <v>13</v>
      </c>
      <c r="V10" s="234">
        <f t="shared" ref="V10:V15" si="0">ROUNDDOWN($S10*$V$8/$S$8,-1)</f>
        <v>1820</v>
      </c>
      <c r="W10" s="232" t="s">
        <v>9</v>
      </c>
      <c r="X10" s="370" t="s">
        <v>13</v>
      </c>
      <c r="Y10" s="234">
        <f t="shared" ref="Y10:Y11" si="1">ROUNDDOWN($S10*$Y$8/$S$8,-1)</f>
        <v>1210</v>
      </c>
      <c r="Z10" s="232" t="s">
        <v>9</v>
      </c>
      <c r="AA10" s="186"/>
      <c r="AB10" s="191"/>
      <c r="AC10" s="191" t="str">
        <f>HLOOKUP($AC$5,名前2!$C:$J,6,0)</f>
        <v>動車にあっては２．５リットル。）を超えるもので</v>
      </c>
    </row>
    <row r="11" spans="1:29" ht="16.5" customHeight="1" x14ac:dyDescent="0.2">
      <c r="A11" s="448"/>
      <c r="B11" s="228" t="s">
        <v>31</v>
      </c>
      <c r="C11" s="229">
        <v>530</v>
      </c>
      <c r="D11" s="230" t="s">
        <v>9</v>
      </c>
      <c r="E11" s="231">
        <v>167</v>
      </c>
      <c r="F11" s="229" t="s">
        <v>10</v>
      </c>
      <c r="G11" s="229">
        <v>100</v>
      </c>
      <c r="H11" s="230" t="s">
        <v>9</v>
      </c>
      <c r="I11" s="201">
        <v>1</v>
      </c>
      <c r="J11" s="202" t="s">
        <v>11</v>
      </c>
      <c r="K11" s="203">
        <v>5</v>
      </c>
      <c r="L11" s="204" t="s">
        <v>12</v>
      </c>
      <c r="M11" s="229">
        <v>100</v>
      </c>
      <c r="N11" s="232" t="s">
        <v>9</v>
      </c>
      <c r="O11" s="185"/>
      <c r="P11" s="228" t="s">
        <v>31</v>
      </c>
      <c r="Q11" s="233">
        <v>7140</v>
      </c>
      <c r="R11" s="230" t="s">
        <v>9</v>
      </c>
      <c r="S11" s="271">
        <v>3570</v>
      </c>
      <c r="T11" s="232" t="s">
        <v>9</v>
      </c>
      <c r="U11" s="370" t="s">
        <v>31</v>
      </c>
      <c r="V11" s="234">
        <f t="shared" si="0"/>
        <v>1780</v>
      </c>
      <c r="W11" s="232" t="s">
        <v>9</v>
      </c>
      <c r="X11" s="370" t="s">
        <v>31</v>
      </c>
      <c r="Y11" s="234">
        <f t="shared" si="1"/>
        <v>1190</v>
      </c>
      <c r="Z11" s="232" t="s">
        <v>9</v>
      </c>
      <c r="AA11" s="186"/>
      <c r="AB11" s="191"/>
      <c r="AC11" s="191" t="str">
        <f>HLOOKUP($AC$5,名前2!$C:$J,7,0)</f>
        <v>あって乗車定員が８名以下のもの。</v>
      </c>
    </row>
    <row r="12" spans="1:29" ht="16.5" customHeight="1" x14ac:dyDescent="0.2">
      <c r="A12" s="448"/>
      <c r="B12" s="245" t="s">
        <v>411</v>
      </c>
      <c r="C12" s="240">
        <v>520</v>
      </c>
      <c r="D12" s="241" t="s">
        <v>9</v>
      </c>
      <c r="E12" s="257">
        <v>177</v>
      </c>
      <c r="F12" s="240" t="s">
        <v>10</v>
      </c>
      <c r="G12" s="240">
        <v>100</v>
      </c>
      <c r="H12" s="230" t="s">
        <v>9</v>
      </c>
      <c r="I12" s="231">
        <v>1</v>
      </c>
      <c r="J12" s="247" t="s">
        <v>11</v>
      </c>
      <c r="K12" s="248">
        <v>5</v>
      </c>
      <c r="L12" s="236" t="s">
        <v>12</v>
      </c>
      <c r="M12" s="240">
        <v>100</v>
      </c>
      <c r="N12" s="244" t="s">
        <v>9</v>
      </c>
      <c r="O12" s="185"/>
      <c r="P12" s="245" t="s">
        <v>411</v>
      </c>
      <c r="Q12" s="242">
        <v>6800</v>
      </c>
      <c r="R12" s="241" t="s">
        <v>9</v>
      </c>
      <c r="S12" s="371">
        <v>3400</v>
      </c>
      <c r="T12" s="244" t="s">
        <v>9</v>
      </c>
      <c r="U12" s="245" t="s">
        <v>411</v>
      </c>
      <c r="V12" s="372">
        <f>ROUNDDOWN($S12*$V$8/$S$8,-1)</f>
        <v>1700</v>
      </c>
      <c r="W12" s="232" t="s">
        <v>9</v>
      </c>
      <c r="X12" s="245" t="s">
        <v>411</v>
      </c>
      <c r="Y12" s="372">
        <f>ROUNDDOWN($S12*$Y$8/$S$8,-1)</f>
        <v>1130</v>
      </c>
      <c r="Z12" s="232" t="s">
        <v>9</v>
      </c>
      <c r="AA12" s="186"/>
      <c r="AB12" s="191" t="str">
        <f>HLOOKUP($AB$5,名前2!$C:$J,8,0)</f>
        <v>普　通　車</v>
      </c>
      <c r="AC12" s="191" t="str">
        <f>HLOOKUP($AC$5,名前2!$C:$J,8,0)</f>
        <v>以下のいずれかに該当する自動車。</v>
      </c>
    </row>
    <row r="13" spans="1:29" ht="16.5" customHeight="1" x14ac:dyDescent="0.2">
      <c r="A13" s="448"/>
      <c r="B13" s="245" t="s">
        <v>412</v>
      </c>
      <c r="C13" s="240">
        <v>510</v>
      </c>
      <c r="D13" s="241" t="s">
        <v>9</v>
      </c>
      <c r="E13" s="257">
        <v>180</v>
      </c>
      <c r="F13" s="240" t="s">
        <v>10</v>
      </c>
      <c r="G13" s="240">
        <v>100</v>
      </c>
      <c r="H13" s="250" t="s">
        <v>9</v>
      </c>
      <c r="I13" s="201">
        <v>1</v>
      </c>
      <c r="J13" s="202" t="s">
        <v>11</v>
      </c>
      <c r="K13" s="203">
        <v>5</v>
      </c>
      <c r="L13" s="204" t="s">
        <v>12</v>
      </c>
      <c r="M13" s="240">
        <v>100</v>
      </c>
      <c r="N13" s="244" t="s">
        <v>9</v>
      </c>
      <c r="O13" s="185"/>
      <c r="P13" s="245" t="s">
        <v>412</v>
      </c>
      <c r="Q13" s="242">
        <v>6680</v>
      </c>
      <c r="R13" s="241" t="s">
        <v>9</v>
      </c>
      <c r="S13" s="371">
        <v>3340</v>
      </c>
      <c r="T13" s="244" t="s">
        <v>9</v>
      </c>
      <c r="U13" s="245" t="s">
        <v>412</v>
      </c>
      <c r="V13" s="372">
        <f>ROUNDDOWN($S13*$V$8/$S$8,-1)</f>
        <v>1670</v>
      </c>
      <c r="W13" s="232" t="s">
        <v>9</v>
      </c>
      <c r="X13" s="245" t="s">
        <v>412</v>
      </c>
      <c r="Y13" s="372">
        <f>ROUNDDOWN($S13*$Y$8/$S$8,-1)</f>
        <v>1110</v>
      </c>
      <c r="Z13" s="232" t="s">
        <v>9</v>
      </c>
      <c r="AA13" s="186"/>
      <c r="AB13" s="191"/>
      <c r="AC13" s="191" t="str">
        <f>HLOOKUP($AC$5,名前2!$C:$J,9,0)</f>
        <v>一　普通自動車又は小型自動車のうち特定大型車及び大型</v>
      </c>
    </row>
    <row r="14" spans="1:29" ht="16.5" customHeight="1" x14ac:dyDescent="0.2">
      <c r="A14" s="448"/>
      <c r="B14" s="245" t="s">
        <v>413</v>
      </c>
      <c r="C14" s="240">
        <v>500</v>
      </c>
      <c r="D14" s="241" t="s">
        <v>9</v>
      </c>
      <c r="E14" s="257">
        <v>218</v>
      </c>
      <c r="F14" s="240" t="s">
        <v>10</v>
      </c>
      <c r="G14" s="240">
        <v>100</v>
      </c>
      <c r="H14" s="241" t="s">
        <v>9</v>
      </c>
      <c r="I14" s="243">
        <v>1</v>
      </c>
      <c r="J14" s="221" t="s">
        <v>11</v>
      </c>
      <c r="K14" s="222">
        <v>20</v>
      </c>
      <c r="L14" s="223" t="s">
        <v>12</v>
      </c>
      <c r="M14" s="240">
        <v>100</v>
      </c>
      <c r="N14" s="244" t="s">
        <v>9</v>
      </c>
      <c r="O14" s="185"/>
      <c r="P14" s="245" t="s">
        <v>413</v>
      </c>
      <c r="Q14" s="242">
        <v>5700</v>
      </c>
      <c r="R14" s="241" t="s">
        <v>9</v>
      </c>
      <c r="S14" s="371">
        <v>2850</v>
      </c>
      <c r="T14" s="244" t="s">
        <v>9</v>
      </c>
      <c r="U14" s="245" t="s">
        <v>413</v>
      </c>
      <c r="V14" s="372">
        <f>ROUNDDOWN($S14*$V$8/$S$8,-1)</f>
        <v>1420</v>
      </c>
      <c r="W14" s="232" t="s">
        <v>9</v>
      </c>
      <c r="X14" s="245" t="s">
        <v>413</v>
      </c>
      <c r="Y14" s="372">
        <f>ROUNDDOWN($S14*$Y$8/$S$8,-1)</f>
        <v>950</v>
      </c>
      <c r="Z14" s="232" t="s">
        <v>9</v>
      </c>
      <c r="AA14" s="186"/>
      <c r="AB14" s="191"/>
      <c r="AC14" s="191" t="str">
        <f>HLOOKUP($AC$5,名前2!$C:$J,10,0)</f>
        <v>車に該当する自動車以外のもの。</v>
      </c>
    </row>
    <row r="15" spans="1:29" ht="16.5" customHeight="1" thickBot="1" x14ac:dyDescent="0.25">
      <c r="A15" s="448"/>
      <c r="B15" s="226" t="s">
        <v>7</v>
      </c>
      <c r="C15" s="211">
        <v>490</v>
      </c>
      <c r="D15" s="212" t="s">
        <v>9</v>
      </c>
      <c r="E15" s="213">
        <v>222</v>
      </c>
      <c r="F15" s="211" t="s">
        <v>10</v>
      </c>
      <c r="G15" s="211">
        <v>100</v>
      </c>
      <c r="H15" s="212" t="s">
        <v>9</v>
      </c>
      <c r="I15" s="213">
        <v>1</v>
      </c>
      <c r="J15" s="254" t="s">
        <v>11</v>
      </c>
      <c r="K15" s="255">
        <v>20</v>
      </c>
      <c r="L15" s="237" t="s">
        <v>12</v>
      </c>
      <c r="M15" s="211">
        <v>100</v>
      </c>
      <c r="N15" s="218" t="s">
        <v>9</v>
      </c>
      <c r="O15" s="185"/>
      <c r="P15" s="226" t="s">
        <v>7</v>
      </c>
      <c r="Q15" s="219">
        <v>5600</v>
      </c>
      <c r="R15" s="212" t="s">
        <v>9</v>
      </c>
      <c r="S15" s="272">
        <v>2800</v>
      </c>
      <c r="T15" s="218" t="s">
        <v>9</v>
      </c>
      <c r="U15" s="226" t="s">
        <v>7</v>
      </c>
      <c r="V15" s="235">
        <f t="shared" si="0"/>
        <v>1400</v>
      </c>
      <c r="W15" s="218" t="s">
        <v>9</v>
      </c>
      <c r="X15" s="226" t="s">
        <v>7</v>
      </c>
      <c r="Y15" s="235">
        <f>ROUNDDOWN($S15*$Y$8/$S$8,-1)</f>
        <v>930</v>
      </c>
      <c r="Z15" s="218" t="s">
        <v>9</v>
      </c>
      <c r="AA15" s="186"/>
      <c r="AB15" s="191"/>
      <c r="AC15" s="191" t="str">
        <f>HLOOKUP($AC$5,名前2!$C:$J,11,0)</f>
        <v>二　道路運送車両法施行規則第２条に定める軽自動車（</v>
      </c>
    </row>
    <row r="16" spans="1:29" ht="13.5" customHeight="1" x14ac:dyDescent="0.2">
      <c r="A16" s="243"/>
      <c r="B16" s="186"/>
      <c r="C16" s="186"/>
      <c r="D16" s="186"/>
      <c r="E16" s="186"/>
      <c r="F16" s="186"/>
      <c r="G16" s="186"/>
      <c r="H16" s="186"/>
      <c r="I16" s="186"/>
      <c r="J16" s="186"/>
      <c r="K16" s="186"/>
      <c r="L16" s="186"/>
      <c r="M16" s="186"/>
      <c r="N16" s="186"/>
      <c r="O16" s="208"/>
      <c r="P16" s="186"/>
      <c r="Q16" s="224"/>
      <c r="R16" s="208"/>
      <c r="S16" s="224"/>
      <c r="T16" s="208"/>
      <c r="U16" s="186"/>
      <c r="V16" s="186"/>
      <c r="W16" s="186"/>
      <c r="X16" s="186"/>
      <c r="Y16" s="186"/>
      <c r="Z16" s="186"/>
      <c r="AA16" s="186"/>
      <c r="AB16" s="191"/>
      <c r="AC16" s="191" t="str">
        <f>HLOOKUP($AC$5,名前2!$C:$J,12,0)</f>
        <v>以下「軽自動車」という。）のうち、内燃機関を搭載し</v>
      </c>
    </row>
    <row r="17" spans="1:29" ht="16.5" customHeight="1" thickBot="1" x14ac:dyDescent="0.25">
      <c r="A17" s="243" t="s">
        <v>19</v>
      </c>
      <c r="B17" s="186"/>
      <c r="C17" s="186"/>
      <c r="D17" s="186"/>
      <c r="E17" s="186"/>
      <c r="F17" s="186"/>
      <c r="G17" s="186"/>
      <c r="H17" s="186"/>
      <c r="I17" s="186"/>
      <c r="J17" s="186"/>
      <c r="K17" s="186"/>
      <c r="L17" s="186"/>
      <c r="M17" s="186"/>
      <c r="N17" s="186"/>
      <c r="O17" s="208"/>
      <c r="P17" s="186"/>
      <c r="Q17" s="186"/>
      <c r="R17" s="186"/>
      <c r="S17" s="186"/>
      <c r="T17" s="186"/>
      <c r="U17" s="186"/>
      <c r="V17" s="186"/>
      <c r="W17" s="186"/>
      <c r="X17" s="186"/>
      <c r="Y17" s="186"/>
      <c r="Z17" s="186"/>
      <c r="AA17" s="186"/>
      <c r="AB17" s="191"/>
      <c r="AC17" s="191" t="str">
        <f>HLOOKUP($AC$5,名前2!$C:$J,13,0)</f>
        <v>ないもの又は福祉輸送サービスの用に供するものに限る。</v>
      </c>
    </row>
    <row r="18" spans="1:29" ht="16.5" customHeight="1" x14ac:dyDescent="0.2">
      <c r="A18" s="243"/>
      <c r="B18" s="550"/>
      <c r="C18" s="552" t="s">
        <v>3</v>
      </c>
      <c r="D18" s="552"/>
      <c r="E18" s="552"/>
      <c r="F18" s="552"/>
      <c r="G18" s="552"/>
      <c r="H18" s="553"/>
      <c r="I18" s="554" t="s">
        <v>4</v>
      </c>
      <c r="J18" s="555"/>
      <c r="K18" s="555"/>
      <c r="L18" s="555"/>
      <c r="M18" s="555"/>
      <c r="N18" s="556"/>
      <c r="O18" s="208"/>
      <c r="P18" s="550"/>
      <c r="Q18" s="562" t="s">
        <v>5</v>
      </c>
      <c r="R18" s="563"/>
      <c r="S18" s="563"/>
      <c r="T18" s="565"/>
      <c r="U18" s="550"/>
      <c r="V18" s="552" t="s">
        <v>5</v>
      </c>
      <c r="W18" s="560"/>
      <c r="X18" s="550"/>
      <c r="Y18" s="552" t="s">
        <v>5</v>
      </c>
      <c r="Z18" s="560"/>
      <c r="AA18" s="186"/>
      <c r="AB18" s="191"/>
      <c r="AC18" s="191" t="str">
        <f>HLOOKUP($AC$5,名前2!$C:$J,14,0)</f>
        <v>ただし、「タクシー事業における軽自動車の活用について」</v>
      </c>
    </row>
    <row r="19" spans="1:29" ht="30" customHeight="1" thickBot="1" x14ac:dyDescent="0.25">
      <c r="A19" s="447" t="str">
        <f>IF(COUNTIF(A20:A26,"○")=0,"無","")</f>
        <v>無</v>
      </c>
      <c r="B19" s="551"/>
      <c r="C19" s="567" t="s">
        <v>398</v>
      </c>
      <c r="D19" s="568"/>
      <c r="E19" s="544" t="s">
        <v>6</v>
      </c>
      <c r="F19" s="545"/>
      <c r="G19" s="545"/>
      <c r="H19" s="546"/>
      <c r="I19" s="557"/>
      <c r="J19" s="558"/>
      <c r="K19" s="558"/>
      <c r="L19" s="558"/>
      <c r="M19" s="558"/>
      <c r="N19" s="559"/>
      <c r="O19" s="193" t="str">
        <f>IF(COUNTIF(O20:O26,"○")=0,"無","")</f>
        <v>無</v>
      </c>
      <c r="P19" s="551"/>
      <c r="Q19" s="542" t="s">
        <v>40</v>
      </c>
      <c r="R19" s="543"/>
      <c r="S19" s="592">
        <v>30</v>
      </c>
      <c r="T19" s="593"/>
      <c r="U19" s="551"/>
      <c r="V19" s="547">
        <v>15</v>
      </c>
      <c r="W19" s="548"/>
      <c r="X19" s="551"/>
      <c r="Y19" s="547">
        <v>10</v>
      </c>
      <c r="Z19" s="548"/>
      <c r="AA19" s="186"/>
      <c r="AB19" s="191"/>
      <c r="AC19" s="191" t="str">
        <f>HLOOKUP($AC$5,名前2!$C:$J,15,0)</f>
        <v>（令和８年６月１日付け国自旅第３７号）別紙１．に基</v>
      </c>
    </row>
    <row r="20" spans="1:29" ht="16.5" customHeight="1" thickTop="1" x14ac:dyDescent="0.2">
      <c r="A20" s="448"/>
      <c r="B20" s="195" t="s">
        <v>8</v>
      </c>
      <c r="C20" s="196">
        <v>520</v>
      </c>
      <c r="D20" s="197" t="s">
        <v>9</v>
      </c>
      <c r="E20" s="198">
        <v>177</v>
      </c>
      <c r="F20" s="199" t="s">
        <v>10</v>
      </c>
      <c r="G20" s="200">
        <v>100</v>
      </c>
      <c r="H20" s="197" t="s">
        <v>9</v>
      </c>
      <c r="I20" s="201">
        <v>1</v>
      </c>
      <c r="J20" s="202" t="s">
        <v>11</v>
      </c>
      <c r="K20" s="203">
        <v>5</v>
      </c>
      <c r="L20" s="204" t="s">
        <v>12</v>
      </c>
      <c r="M20" s="205">
        <v>100</v>
      </c>
      <c r="N20" s="206" t="s">
        <v>9</v>
      </c>
      <c r="O20" s="185"/>
      <c r="P20" s="195" t="s">
        <v>8</v>
      </c>
      <c r="Q20" s="207">
        <v>6800</v>
      </c>
      <c r="R20" s="197" t="s">
        <v>9</v>
      </c>
      <c r="S20" s="271">
        <v>3400</v>
      </c>
      <c r="T20" s="206" t="s">
        <v>9</v>
      </c>
      <c r="U20" s="195" t="s">
        <v>8</v>
      </c>
      <c r="V20" s="234">
        <f>ROUNDDOWN($S20*$V$8/$S$8,-1)</f>
        <v>1700</v>
      </c>
      <c r="W20" s="232" t="s">
        <v>9</v>
      </c>
      <c r="X20" s="195" t="s">
        <v>8</v>
      </c>
      <c r="Y20" s="234">
        <f>ROUNDDOWN($S20*$Y$8/$S$8,-1)</f>
        <v>1130</v>
      </c>
      <c r="Z20" s="232" t="s">
        <v>9</v>
      </c>
      <c r="AA20" s="186"/>
      <c r="AB20" s="191"/>
      <c r="AC20" s="191" t="str">
        <f>HLOOKUP($AC$5,名前2!$C:$J,16,0)</f>
        <v>づき近畿運輸局長が公示する地域においては、軽自動車と</v>
      </c>
    </row>
    <row r="21" spans="1:29" ht="16.5" customHeight="1" x14ac:dyDescent="0.2">
      <c r="A21" s="448"/>
      <c r="B21" s="228" t="s">
        <v>13</v>
      </c>
      <c r="C21" s="229">
        <v>510</v>
      </c>
      <c r="D21" s="230" t="s">
        <v>9</v>
      </c>
      <c r="E21" s="231">
        <v>180</v>
      </c>
      <c r="F21" s="229" t="s">
        <v>10</v>
      </c>
      <c r="G21" s="229">
        <v>100</v>
      </c>
      <c r="H21" s="230" t="s">
        <v>9</v>
      </c>
      <c r="I21" s="201">
        <v>1</v>
      </c>
      <c r="J21" s="202" t="s">
        <v>11</v>
      </c>
      <c r="K21" s="203">
        <v>5</v>
      </c>
      <c r="L21" s="204" t="s">
        <v>12</v>
      </c>
      <c r="M21" s="229">
        <v>100</v>
      </c>
      <c r="N21" s="232" t="s">
        <v>9</v>
      </c>
      <c r="O21" s="185"/>
      <c r="P21" s="228" t="s">
        <v>13</v>
      </c>
      <c r="Q21" s="233">
        <v>6680</v>
      </c>
      <c r="R21" s="230" t="s">
        <v>9</v>
      </c>
      <c r="S21" s="271">
        <v>3340</v>
      </c>
      <c r="T21" s="232" t="s">
        <v>9</v>
      </c>
      <c r="U21" s="370" t="s">
        <v>13</v>
      </c>
      <c r="V21" s="234">
        <f t="shared" ref="V21:V26" si="2">ROUNDDOWN($S21*$V$8/$S$8,-1)</f>
        <v>1670</v>
      </c>
      <c r="W21" s="232" t="s">
        <v>9</v>
      </c>
      <c r="X21" s="370" t="s">
        <v>13</v>
      </c>
      <c r="Y21" s="234">
        <f t="shared" ref="Y21:Y26" si="3">ROUNDDOWN($S21*$Y$8/$S$8,-1)</f>
        <v>1110</v>
      </c>
      <c r="Z21" s="232" t="s">
        <v>9</v>
      </c>
      <c r="AA21" s="186"/>
      <c r="AB21" s="191"/>
      <c r="AC21" s="191" t="str">
        <f>HLOOKUP($AC$5,名前2!$C:$J,17,0)</f>
        <v>する。</v>
      </c>
    </row>
    <row r="22" spans="1:29" ht="16.5" customHeight="1" x14ac:dyDescent="0.2">
      <c r="A22" s="448"/>
      <c r="B22" s="228" t="s">
        <v>31</v>
      </c>
      <c r="C22" s="229">
        <v>500</v>
      </c>
      <c r="D22" s="230" t="s">
        <v>9</v>
      </c>
      <c r="E22" s="231">
        <v>218</v>
      </c>
      <c r="F22" s="229" t="s">
        <v>10</v>
      </c>
      <c r="G22" s="229">
        <v>100</v>
      </c>
      <c r="H22" s="230" t="s">
        <v>9</v>
      </c>
      <c r="I22" s="201">
        <v>1</v>
      </c>
      <c r="J22" s="202" t="s">
        <v>11</v>
      </c>
      <c r="K22" s="203">
        <v>20</v>
      </c>
      <c r="L22" s="204" t="s">
        <v>12</v>
      </c>
      <c r="M22" s="229">
        <v>100</v>
      </c>
      <c r="N22" s="232" t="s">
        <v>9</v>
      </c>
      <c r="O22" s="185"/>
      <c r="P22" s="228" t="s">
        <v>31</v>
      </c>
      <c r="Q22" s="233">
        <v>5700</v>
      </c>
      <c r="R22" s="230" t="s">
        <v>9</v>
      </c>
      <c r="S22" s="271">
        <v>2850</v>
      </c>
      <c r="T22" s="232" t="s">
        <v>9</v>
      </c>
      <c r="U22" s="370" t="s">
        <v>31</v>
      </c>
      <c r="V22" s="234">
        <f t="shared" si="2"/>
        <v>1420</v>
      </c>
      <c r="W22" s="232" t="s">
        <v>9</v>
      </c>
      <c r="X22" s="370" t="s">
        <v>31</v>
      </c>
      <c r="Y22" s="234">
        <f t="shared" si="3"/>
        <v>950</v>
      </c>
      <c r="Z22" s="232" t="s">
        <v>9</v>
      </c>
      <c r="AA22" s="186"/>
      <c r="AB22" s="191" t="str">
        <f>HLOOKUP($AB$5,名前2!$C:$J,18,0)</f>
        <v>備　　　考　</v>
      </c>
      <c r="AC22" s="191" t="str">
        <f>HLOOKUP($AC$5,名前2!$C:$J,18,0)</f>
        <v>１　自動車検査証に記載されている諸元を基準とする。</v>
      </c>
    </row>
    <row r="23" spans="1:29" ht="16.5" customHeight="1" x14ac:dyDescent="0.2">
      <c r="A23" s="448"/>
      <c r="B23" s="245" t="s">
        <v>411</v>
      </c>
      <c r="C23" s="240">
        <v>490</v>
      </c>
      <c r="D23" s="241" t="s">
        <v>9</v>
      </c>
      <c r="E23" s="257">
        <v>222</v>
      </c>
      <c r="F23" s="240" t="s">
        <v>10</v>
      </c>
      <c r="G23" s="240">
        <v>100</v>
      </c>
      <c r="H23" s="241" t="s">
        <v>9</v>
      </c>
      <c r="I23" s="231">
        <v>1</v>
      </c>
      <c r="J23" s="247" t="s">
        <v>11</v>
      </c>
      <c r="K23" s="248">
        <v>20</v>
      </c>
      <c r="L23" s="236" t="s">
        <v>12</v>
      </c>
      <c r="M23" s="240">
        <v>100</v>
      </c>
      <c r="N23" s="244" t="s">
        <v>9</v>
      </c>
      <c r="O23" s="185"/>
      <c r="P23" s="245" t="s">
        <v>411</v>
      </c>
      <c r="Q23" s="373">
        <v>5600</v>
      </c>
      <c r="R23" s="230" t="s">
        <v>9</v>
      </c>
      <c r="S23" s="271">
        <v>2800</v>
      </c>
      <c r="T23" s="232" t="s">
        <v>9</v>
      </c>
      <c r="U23" s="245" t="s">
        <v>411</v>
      </c>
      <c r="V23" s="234">
        <f>ROUNDDOWN($S23*$V$8/$S$8,-1)</f>
        <v>1400</v>
      </c>
      <c r="W23" s="232" t="s">
        <v>9</v>
      </c>
      <c r="X23" s="245" t="s">
        <v>411</v>
      </c>
      <c r="Y23" s="234">
        <f t="shared" si="3"/>
        <v>930</v>
      </c>
      <c r="Z23" s="232" t="s">
        <v>9</v>
      </c>
      <c r="AA23" s="186"/>
      <c r="AB23" s="191"/>
      <c r="AC23" s="191" t="str">
        <f>HLOOKUP($AC$5,名前2!$C:$J,19,0)</f>
        <v>２　車体の形状が患者輸送車、車いす移動車又は身体障害</v>
      </c>
    </row>
    <row r="24" spans="1:29" ht="16.5" customHeight="1" x14ac:dyDescent="0.2">
      <c r="A24" s="448"/>
      <c r="B24" s="245" t="s">
        <v>412</v>
      </c>
      <c r="C24" s="240">
        <v>480</v>
      </c>
      <c r="D24" s="241" t="s">
        <v>9</v>
      </c>
      <c r="E24" s="257">
        <v>227</v>
      </c>
      <c r="F24" s="240" t="s">
        <v>10</v>
      </c>
      <c r="G24" s="240">
        <v>100</v>
      </c>
      <c r="H24" s="241" t="s">
        <v>9</v>
      </c>
      <c r="I24" s="201">
        <v>1</v>
      </c>
      <c r="J24" s="202" t="s">
        <v>11</v>
      </c>
      <c r="K24" s="203">
        <v>25</v>
      </c>
      <c r="L24" s="204" t="s">
        <v>12</v>
      </c>
      <c r="M24" s="240">
        <v>100</v>
      </c>
      <c r="N24" s="244" t="s">
        <v>9</v>
      </c>
      <c r="O24" s="185"/>
      <c r="P24" s="245" t="s">
        <v>412</v>
      </c>
      <c r="Q24" s="233">
        <v>5480</v>
      </c>
      <c r="R24" s="230" t="s">
        <v>9</v>
      </c>
      <c r="S24" s="271">
        <v>2740</v>
      </c>
      <c r="T24" s="232" t="s">
        <v>9</v>
      </c>
      <c r="U24" s="245" t="s">
        <v>412</v>
      </c>
      <c r="V24" s="234">
        <f t="shared" si="2"/>
        <v>1370</v>
      </c>
      <c r="W24" s="232" t="s">
        <v>9</v>
      </c>
      <c r="X24" s="245" t="s">
        <v>412</v>
      </c>
      <c r="Y24" s="234">
        <f t="shared" si="3"/>
        <v>910</v>
      </c>
      <c r="Z24" s="232" t="s">
        <v>9</v>
      </c>
      <c r="AA24" s="186"/>
      <c r="AB24" s="191"/>
      <c r="AC24" s="191" t="str">
        <f>HLOOKUP($AC$5,名前2!$C:$J,20,0)</f>
        <v>者輸送車である特種自動車については、上記の車種区分に</v>
      </c>
    </row>
    <row r="25" spans="1:29" ht="16.5" customHeight="1" x14ac:dyDescent="0.2">
      <c r="A25" s="448"/>
      <c r="B25" s="245" t="s">
        <v>413</v>
      </c>
      <c r="C25" s="240">
        <v>470</v>
      </c>
      <c r="D25" s="241" t="s">
        <v>9</v>
      </c>
      <c r="E25" s="257">
        <v>232</v>
      </c>
      <c r="F25" s="240" t="s">
        <v>10</v>
      </c>
      <c r="G25" s="240">
        <v>100</v>
      </c>
      <c r="H25" s="241" t="s">
        <v>9</v>
      </c>
      <c r="I25" s="243">
        <v>1</v>
      </c>
      <c r="J25" s="221" t="s">
        <v>11</v>
      </c>
      <c r="K25" s="222">
        <v>25</v>
      </c>
      <c r="L25" s="223" t="s">
        <v>12</v>
      </c>
      <c r="M25" s="240">
        <v>100</v>
      </c>
      <c r="N25" s="244" t="s">
        <v>9</v>
      </c>
      <c r="O25" s="185"/>
      <c r="P25" s="245" t="s">
        <v>413</v>
      </c>
      <c r="Q25" s="233">
        <v>5360</v>
      </c>
      <c r="R25" s="230" t="s">
        <v>9</v>
      </c>
      <c r="S25" s="271">
        <v>2680</v>
      </c>
      <c r="T25" s="232" t="s">
        <v>9</v>
      </c>
      <c r="U25" s="245" t="s">
        <v>413</v>
      </c>
      <c r="V25" s="234">
        <f>ROUNDDOWN($S25*$V$8/$S$8,-1)</f>
        <v>1340</v>
      </c>
      <c r="W25" s="232" t="s">
        <v>9</v>
      </c>
      <c r="X25" s="245" t="s">
        <v>413</v>
      </c>
      <c r="Y25" s="234">
        <f t="shared" si="3"/>
        <v>890</v>
      </c>
      <c r="Z25" s="232" t="s">
        <v>9</v>
      </c>
      <c r="AA25" s="186"/>
      <c r="AB25" s="191"/>
      <c r="AC25" s="191" t="str">
        <f>HLOOKUP($AC$5,名前2!$C:$J,21,0)</f>
        <v>よらず、以下の区分を適用する。</v>
      </c>
    </row>
    <row r="26" spans="1:29" ht="16.5" customHeight="1" thickBot="1" x14ac:dyDescent="0.25">
      <c r="A26" s="448"/>
      <c r="B26" s="226" t="s">
        <v>7</v>
      </c>
      <c r="C26" s="211">
        <v>460</v>
      </c>
      <c r="D26" s="212" t="s">
        <v>9</v>
      </c>
      <c r="E26" s="213">
        <v>237</v>
      </c>
      <c r="F26" s="211" t="s">
        <v>10</v>
      </c>
      <c r="G26" s="211">
        <v>100</v>
      </c>
      <c r="H26" s="212" t="s">
        <v>9</v>
      </c>
      <c r="I26" s="213">
        <v>1</v>
      </c>
      <c r="J26" s="254" t="s">
        <v>11</v>
      </c>
      <c r="K26" s="255">
        <v>30</v>
      </c>
      <c r="L26" s="237" t="s">
        <v>12</v>
      </c>
      <c r="M26" s="211">
        <v>100</v>
      </c>
      <c r="N26" s="218" t="s">
        <v>9</v>
      </c>
      <c r="O26" s="185"/>
      <c r="P26" s="226" t="s">
        <v>7</v>
      </c>
      <c r="Q26" s="267">
        <v>5260</v>
      </c>
      <c r="R26" s="263" t="s">
        <v>9</v>
      </c>
      <c r="S26" s="273">
        <v>2630</v>
      </c>
      <c r="T26" s="265" t="s">
        <v>9</v>
      </c>
      <c r="U26" s="226" t="s">
        <v>7</v>
      </c>
      <c r="V26" s="235">
        <f t="shared" si="2"/>
        <v>1310</v>
      </c>
      <c r="W26" s="218" t="s">
        <v>9</v>
      </c>
      <c r="X26" s="226" t="s">
        <v>7</v>
      </c>
      <c r="Y26" s="235">
        <f t="shared" si="3"/>
        <v>870</v>
      </c>
      <c r="Z26" s="218" t="s">
        <v>9</v>
      </c>
      <c r="AA26" s="186"/>
      <c r="AB26" s="191"/>
      <c r="AC26" s="191" t="str">
        <f>HLOOKUP($AC$5,名前2!$C:$J,22,0)</f>
        <v>一　次号に掲げる自動車以外の自動車</v>
      </c>
    </row>
    <row r="27" spans="1:29" ht="13.5" customHeight="1" x14ac:dyDescent="0.2">
      <c r="A27" s="243"/>
      <c r="B27" s="186"/>
      <c r="C27" s="186"/>
      <c r="D27" s="186"/>
      <c r="E27" s="186"/>
      <c r="F27" s="186"/>
      <c r="G27" s="186"/>
      <c r="H27" s="186"/>
      <c r="I27" s="186"/>
      <c r="J27" s="186"/>
      <c r="K27" s="186"/>
      <c r="L27" s="186"/>
      <c r="M27" s="186"/>
      <c r="N27" s="186"/>
      <c r="O27" s="208"/>
      <c r="P27" s="186"/>
      <c r="Q27" s="224"/>
      <c r="R27" s="208"/>
      <c r="S27" s="224"/>
      <c r="T27" s="208"/>
      <c r="U27" s="186"/>
      <c r="V27" s="186"/>
      <c r="W27" s="186"/>
      <c r="X27" s="186"/>
      <c r="Y27" s="186"/>
      <c r="Z27" s="186"/>
      <c r="AA27" s="186"/>
      <c r="AB27" s="191" t="str">
        <f>IF(HLOOKUP($AB$5,名前2!$C:$J,20,0)=0,"",HLOOKUP($AB$5,名前2!C:J,20,0))</f>
        <v/>
      </c>
      <c r="AC27" s="191" t="str">
        <f>HLOOKUP($AC$5,名前2!$C:$J,23,0)</f>
        <v>ア　乗車定員が７名以上のもの　大型車</v>
      </c>
    </row>
    <row r="28" spans="1:29" ht="16.5" customHeight="1" thickBot="1" x14ac:dyDescent="0.25">
      <c r="A28" s="243" t="s">
        <v>28</v>
      </c>
      <c r="B28" s="186"/>
      <c r="C28" s="186"/>
      <c r="D28" s="186"/>
      <c r="E28" s="186"/>
      <c r="F28" s="186"/>
      <c r="G28" s="186"/>
      <c r="H28" s="186"/>
      <c r="I28" s="186"/>
      <c r="J28" s="186"/>
      <c r="K28" s="186"/>
      <c r="L28" s="186"/>
      <c r="M28" s="186"/>
      <c r="N28" s="186"/>
      <c r="O28" s="208"/>
      <c r="P28" s="186"/>
      <c r="Q28" s="186"/>
      <c r="R28" s="186"/>
      <c r="S28" s="186"/>
      <c r="T28" s="186"/>
      <c r="U28" s="186"/>
      <c r="V28" s="186"/>
      <c r="W28" s="186"/>
      <c r="X28" s="186"/>
      <c r="Y28" s="186"/>
      <c r="Z28" s="186"/>
      <c r="AA28" s="186"/>
      <c r="AB28" s="191"/>
      <c r="AC28" s="191" t="str">
        <f>HLOOKUP($AC$5,名前2!$C:$J,24,0)</f>
        <v>イ　乗車定員が６名以下のもの　普通車</v>
      </c>
    </row>
    <row r="29" spans="1:29" ht="16.5" customHeight="1" x14ac:dyDescent="0.2">
      <c r="A29" s="243"/>
      <c r="B29" s="550"/>
      <c r="C29" s="552" t="s">
        <v>3</v>
      </c>
      <c r="D29" s="552"/>
      <c r="E29" s="552"/>
      <c r="F29" s="552"/>
      <c r="G29" s="552"/>
      <c r="H29" s="553"/>
      <c r="I29" s="554" t="s">
        <v>4</v>
      </c>
      <c r="J29" s="555"/>
      <c r="K29" s="555"/>
      <c r="L29" s="555"/>
      <c r="M29" s="555"/>
      <c r="N29" s="556"/>
      <c r="O29" s="208"/>
      <c r="P29" s="550"/>
      <c r="Q29" s="562" t="s">
        <v>5</v>
      </c>
      <c r="R29" s="563"/>
      <c r="S29" s="563"/>
      <c r="T29" s="565"/>
      <c r="U29" s="550"/>
      <c r="V29" s="552" t="s">
        <v>5</v>
      </c>
      <c r="W29" s="560"/>
      <c r="X29" s="550"/>
      <c r="Y29" s="552" t="s">
        <v>5</v>
      </c>
      <c r="Z29" s="560"/>
      <c r="AA29" s="186"/>
      <c r="AB29" s="191"/>
      <c r="AC29" s="191" t="str">
        <f>HLOOKUP($AC$5,名前2!$C:$J,25,0)</f>
        <v>二　専ら旅客を寝台に乗せて運行することを目的とする</v>
      </c>
    </row>
    <row r="30" spans="1:29" ht="30" customHeight="1" thickBot="1" x14ac:dyDescent="0.25">
      <c r="A30" s="447" t="str">
        <f>IF(COUNTIF(A31:A37,"○")=0,"無","")</f>
        <v>無</v>
      </c>
      <c r="B30" s="551"/>
      <c r="C30" s="567" t="s">
        <v>398</v>
      </c>
      <c r="D30" s="568"/>
      <c r="E30" s="544" t="s">
        <v>6</v>
      </c>
      <c r="F30" s="545"/>
      <c r="G30" s="545"/>
      <c r="H30" s="546"/>
      <c r="I30" s="557"/>
      <c r="J30" s="558"/>
      <c r="K30" s="558"/>
      <c r="L30" s="558"/>
      <c r="M30" s="558"/>
      <c r="N30" s="559"/>
      <c r="O30" s="193" t="str">
        <f>IF(COUNTIF(O31:O37,"○")=0,"無","")</f>
        <v>無</v>
      </c>
      <c r="P30" s="551"/>
      <c r="Q30" s="542" t="s">
        <v>40</v>
      </c>
      <c r="R30" s="543"/>
      <c r="S30" s="592">
        <v>30</v>
      </c>
      <c r="T30" s="593"/>
      <c r="U30" s="551"/>
      <c r="V30" s="547">
        <v>15</v>
      </c>
      <c r="W30" s="548"/>
      <c r="X30" s="551"/>
      <c r="Y30" s="547">
        <v>10</v>
      </c>
      <c r="Z30" s="548"/>
      <c r="AA30" s="186"/>
      <c r="AB30" s="191"/>
      <c r="AC30" s="191" t="str">
        <f>HLOOKUP($AC$5,名前2!$C:$J,26,0)</f>
        <v>自動車</v>
      </c>
    </row>
    <row r="31" spans="1:29" ht="16.5" customHeight="1" thickTop="1" x14ac:dyDescent="0.2">
      <c r="A31" s="448"/>
      <c r="B31" s="195" t="s">
        <v>8</v>
      </c>
      <c r="C31" s="196">
        <v>500</v>
      </c>
      <c r="D31" s="197" t="s">
        <v>9</v>
      </c>
      <c r="E31" s="198">
        <v>218</v>
      </c>
      <c r="F31" s="199" t="s">
        <v>10</v>
      </c>
      <c r="G31" s="200">
        <v>100</v>
      </c>
      <c r="H31" s="197" t="s">
        <v>9</v>
      </c>
      <c r="I31" s="201">
        <v>1</v>
      </c>
      <c r="J31" s="202" t="s">
        <v>11</v>
      </c>
      <c r="K31" s="203">
        <v>20</v>
      </c>
      <c r="L31" s="204" t="s">
        <v>12</v>
      </c>
      <c r="M31" s="205">
        <v>100</v>
      </c>
      <c r="N31" s="206" t="s">
        <v>9</v>
      </c>
      <c r="O31" s="185"/>
      <c r="P31" s="195" t="s">
        <v>8</v>
      </c>
      <c r="Q31" s="207">
        <v>5700</v>
      </c>
      <c r="R31" s="197" t="s">
        <v>9</v>
      </c>
      <c r="S31" s="270">
        <v>2850</v>
      </c>
      <c r="T31" s="206" t="s">
        <v>9</v>
      </c>
      <c r="U31" s="195" t="s">
        <v>8</v>
      </c>
      <c r="V31" s="234">
        <f>ROUNDDOWN($S31*$V$8/$S$8,-1)</f>
        <v>1420</v>
      </c>
      <c r="W31" s="232" t="s">
        <v>9</v>
      </c>
      <c r="X31" s="195" t="s">
        <v>8</v>
      </c>
      <c r="Y31" s="234">
        <f>ROUNDDOWN($S31*$Y$8/$S$8,-1)</f>
        <v>950</v>
      </c>
      <c r="Z31" s="232" t="s">
        <v>9</v>
      </c>
      <c r="AA31" s="186"/>
      <c r="AB31" s="191"/>
      <c r="AC31" s="191" t="str">
        <f>HLOOKUP($AC$5,名前2!$C:$J,27,0)</f>
        <v>ア　普通自動車　普通自動車</v>
      </c>
    </row>
    <row r="32" spans="1:29" ht="16.5" customHeight="1" x14ac:dyDescent="0.2">
      <c r="A32" s="448"/>
      <c r="B32" s="228" t="s">
        <v>13</v>
      </c>
      <c r="C32" s="229">
        <v>490</v>
      </c>
      <c r="D32" s="230" t="s">
        <v>9</v>
      </c>
      <c r="E32" s="231">
        <v>222</v>
      </c>
      <c r="F32" s="229" t="s">
        <v>10</v>
      </c>
      <c r="G32" s="229">
        <v>100</v>
      </c>
      <c r="H32" s="230" t="s">
        <v>9</v>
      </c>
      <c r="I32" s="201">
        <v>1</v>
      </c>
      <c r="J32" s="202" t="s">
        <v>11</v>
      </c>
      <c r="K32" s="203">
        <v>20</v>
      </c>
      <c r="L32" s="204" t="s">
        <v>12</v>
      </c>
      <c r="M32" s="229">
        <v>100</v>
      </c>
      <c r="N32" s="232" t="s">
        <v>9</v>
      </c>
      <c r="O32" s="185"/>
      <c r="P32" s="228" t="s">
        <v>13</v>
      </c>
      <c r="Q32" s="233">
        <v>5600</v>
      </c>
      <c r="R32" s="230" t="s">
        <v>9</v>
      </c>
      <c r="S32" s="271">
        <v>2800</v>
      </c>
      <c r="T32" s="232" t="s">
        <v>9</v>
      </c>
      <c r="U32" s="370" t="s">
        <v>13</v>
      </c>
      <c r="V32" s="234">
        <f t="shared" ref="V32:V37" si="4">ROUNDDOWN($S32*$V$8/$S$8,-1)</f>
        <v>1400</v>
      </c>
      <c r="W32" s="232" t="s">
        <v>9</v>
      </c>
      <c r="X32" s="370" t="s">
        <v>13</v>
      </c>
      <c r="Y32" s="234">
        <f t="shared" ref="Y32" si="5">ROUNDDOWN($S32*$Y$8/$S$8,-1)</f>
        <v>930</v>
      </c>
      <c r="Z32" s="232" t="s">
        <v>9</v>
      </c>
      <c r="AA32" s="186"/>
      <c r="AB32" s="191"/>
      <c r="AC32" s="191" t="str">
        <f>HLOOKUP($AC$5,名前2!$C:$J,28,0)</f>
        <v>イ　小型自動車　小型自動車</v>
      </c>
    </row>
    <row r="33" spans="1:29" ht="16.5" customHeight="1" x14ac:dyDescent="0.2">
      <c r="A33" s="448"/>
      <c r="B33" s="228" t="s">
        <v>31</v>
      </c>
      <c r="C33" s="229">
        <v>480</v>
      </c>
      <c r="D33" s="230" t="s">
        <v>9</v>
      </c>
      <c r="E33" s="231">
        <v>227</v>
      </c>
      <c r="F33" s="229" t="s">
        <v>10</v>
      </c>
      <c r="G33" s="229">
        <v>100</v>
      </c>
      <c r="H33" s="230" t="s">
        <v>9</v>
      </c>
      <c r="I33" s="201">
        <v>1</v>
      </c>
      <c r="J33" s="202" t="s">
        <v>11</v>
      </c>
      <c r="K33" s="203">
        <v>25</v>
      </c>
      <c r="L33" s="204" t="s">
        <v>12</v>
      </c>
      <c r="M33" s="229">
        <v>100</v>
      </c>
      <c r="N33" s="232" t="s">
        <v>9</v>
      </c>
      <c r="O33" s="185"/>
      <c r="P33" s="228" t="s">
        <v>31</v>
      </c>
      <c r="Q33" s="233">
        <v>5480</v>
      </c>
      <c r="R33" s="230" t="s">
        <v>9</v>
      </c>
      <c r="S33" s="271">
        <v>2740</v>
      </c>
      <c r="T33" s="232" t="s">
        <v>9</v>
      </c>
      <c r="U33" s="370" t="s">
        <v>31</v>
      </c>
      <c r="V33" s="234">
        <f t="shared" si="4"/>
        <v>1370</v>
      </c>
      <c r="W33" s="232" t="s">
        <v>9</v>
      </c>
      <c r="X33" s="370" t="s">
        <v>31</v>
      </c>
      <c r="Y33" s="234">
        <f>ROUNDDOWN($S33*$Y$8/$S$8,-1)</f>
        <v>910</v>
      </c>
      <c r="Z33" s="232" t="s">
        <v>9</v>
      </c>
      <c r="AA33" s="186"/>
      <c r="AB33" s="191"/>
      <c r="AC33" s="191" t="str">
        <f>HLOOKUP($AC$5,名前2!$C:$J,29,0)</f>
        <v>３　上記の車種区分において、ハイブリッド自動車とは、</v>
      </c>
    </row>
    <row r="34" spans="1:29" ht="16.5" customHeight="1" x14ac:dyDescent="0.2">
      <c r="A34" s="448"/>
      <c r="B34" s="245" t="s">
        <v>411</v>
      </c>
      <c r="C34" s="240">
        <v>470</v>
      </c>
      <c r="D34" s="241" t="s">
        <v>9</v>
      </c>
      <c r="E34" s="257">
        <v>232</v>
      </c>
      <c r="F34" s="240" t="s">
        <v>10</v>
      </c>
      <c r="G34" s="240">
        <v>100</v>
      </c>
      <c r="H34" s="241" t="s">
        <v>9</v>
      </c>
      <c r="I34" s="231">
        <v>1</v>
      </c>
      <c r="J34" s="247" t="s">
        <v>11</v>
      </c>
      <c r="K34" s="248">
        <v>25</v>
      </c>
      <c r="L34" s="236" t="s">
        <v>12</v>
      </c>
      <c r="M34" s="240">
        <v>100</v>
      </c>
      <c r="N34" s="244" t="s">
        <v>9</v>
      </c>
      <c r="O34" s="185"/>
      <c r="P34" s="245" t="s">
        <v>411</v>
      </c>
      <c r="Q34" s="233">
        <v>5360</v>
      </c>
      <c r="R34" s="230" t="s">
        <v>9</v>
      </c>
      <c r="S34" s="371">
        <v>2680</v>
      </c>
      <c r="T34" s="251" t="s">
        <v>9</v>
      </c>
      <c r="U34" s="245" t="s">
        <v>411</v>
      </c>
      <c r="V34" s="372">
        <f>ROUNDDOWN($S34*$V$8/$S$8,-1)</f>
        <v>1340</v>
      </c>
      <c r="W34" s="232" t="s">
        <v>9</v>
      </c>
      <c r="X34" s="245" t="s">
        <v>411</v>
      </c>
      <c r="Y34" s="372">
        <f>ROUNDDOWN($S34*$Y$8/$S$8,-1)</f>
        <v>890</v>
      </c>
      <c r="Z34" s="232" t="s">
        <v>9</v>
      </c>
      <c r="AA34" s="186"/>
      <c r="AB34" s="191"/>
      <c r="AC34" s="191" t="str">
        <f>HLOOKUP($AC$5,名前2!$C:$J,30,0)</f>
        <v>内燃機関を搭載し、併せて電気又は蓄圧器に蓄えられた</v>
      </c>
    </row>
    <row r="35" spans="1:29" ht="16.5" customHeight="1" x14ac:dyDescent="0.2">
      <c r="A35" s="448"/>
      <c r="B35" s="245" t="s">
        <v>412</v>
      </c>
      <c r="C35" s="240">
        <v>460</v>
      </c>
      <c r="D35" s="241" t="s">
        <v>9</v>
      </c>
      <c r="E35" s="257">
        <v>237</v>
      </c>
      <c r="F35" s="240" t="s">
        <v>10</v>
      </c>
      <c r="G35" s="240">
        <v>100</v>
      </c>
      <c r="H35" s="241" t="s">
        <v>9</v>
      </c>
      <c r="I35" s="231">
        <v>1</v>
      </c>
      <c r="J35" s="247" t="s">
        <v>11</v>
      </c>
      <c r="K35" s="248">
        <v>30</v>
      </c>
      <c r="L35" s="236" t="s">
        <v>12</v>
      </c>
      <c r="M35" s="240">
        <v>100</v>
      </c>
      <c r="N35" s="244" t="s">
        <v>9</v>
      </c>
      <c r="O35" s="185"/>
      <c r="P35" s="245" t="s">
        <v>412</v>
      </c>
      <c r="Q35" s="373">
        <v>5260</v>
      </c>
      <c r="R35" s="250" t="s">
        <v>9</v>
      </c>
      <c r="S35" s="371">
        <v>2630</v>
      </c>
      <c r="T35" s="232" t="s">
        <v>9</v>
      </c>
      <c r="U35" s="245" t="s">
        <v>412</v>
      </c>
      <c r="V35" s="372">
        <f>ROUNDDOWN($S35*$V$8/$S$8,-1)</f>
        <v>1310</v>
      </c>
      <c r="W35" s="232" t="s">
        <v>9</v>
      </c>
      <c r="X35" s="245" t="s">
        <v>412</v>
      </c>
      <c r="Y35" s="372">
        <f>ROUNDDOWN($S35*$Y$8/$S$8,-1)</f>
        <v>870</v>
      </c>
      <c r="Z35" s="232" t="s">
        <v>9</v>
      </c>
      <c r="AA35" s="186"/>
      <c r="AB35" s="191"/>
      <c r="AC35" s="191" t="str">
        <f>IF(HLOOKUP($AC$5,名前2!$C:$J,31,0)=0,"",HLOOKUP($AC$5,名前2!$C:$J,31,0))</f>
        <v>圧力を動力源として用いる自動車をいう。</v>
      </c>
    </row>
    <row r="36" spans="1:29" ht="16.5" customHeight="1" x14ac:dyDescent="0.2">
      <c r="A36" s="448"/>
      <c r="B36" s="245" t="s">
        <v>413</v>
      </c>
      <c r="C36" s="240">
        <v>450</v>
      </c>
      <c r="D36" s="241" t="s">
        <v>9</v>
      </c>
      <c r="E36" s="257">
        <v>242</v>
      </c>
      <c r="F36" s="240" t="s">
        <v>10</v>
      </c>
      <c r="G36" s="240">
        <v>100</v>
      </c>
      <c r="H36" s="241" t="s">
        <v>9</v>
      </c>
      <c r="I36" s="243">
        <v>1</v>
      </c>
      <c r="J36" s="221" t="s">
        <v>11</v>
      </c>
      <c r="K36" s="222">
        <v>30</v>
      </c>
      <c r="L36" s="223" t="s">
        <v>12</v>
      </c>
      <c r="M36" s="240">
        <v>100</v>
      </c>
      <c r="N36" s="244" t="s">
        <v>9</v>
      </c>
      <c r="O36" s="185"/>
      <c r="P36" s="245" t="s">
        <v>413</v>
      </c>
      <c r="Q36" s="233">
        <v>5140</v>
      </c>
      <c r="R36" s="230" t="s">
        <v>9</v>
      </c>
      <c r="S36" s="371">
        <v>2570</v>
      </c>
      <c r="T36" s="232" t="s">
        <v>9</v>
      </c>
      <c r="U36" s="245" t="s">
        <v>413</v>
      </c>
      <c r="V36" s="372">
        <f>ROUNDDOWN($S36*$V$8/$S$8,-1)</f>
        <v>1280</v>
      </c>
      <c r="W36" s="232" t="s">
        <v>9</v>
      </c>
      <c r="X36" s="245" t="s">
        <v>413</v>
      </c>
      <c r="Y36" s="372">
        <f>ROUNDDOWN($S36*$Y$8/$S$8,-1)</f>
        <v>850</v>
      </c>
      <c r="Z36" s="232" t="s">
        <v>9</v>
      </c>
      <c r="AA36" s="186"/>
      <c r="AB36" s="191"/>
      <c r="AC36" s="191" t="str">
        <f>IF(HLOOKUP($AC$5,名前2!$C:$J,32,0)=0,"",HLOOKUP($AC$5,名前2!$C:$J,32,0))</f>
        <v/>
      </c>
    </row>
    <row r="37" spans="1:29" ht="16.5" customHeight="1" thickBot="1" x14ac:dyDescent="0.25">
      <c r="A37" s="448"/>
      <c r="B37" s="226" t="s">
        <v>7</v>
      </c>
      <c r="C37" s="211">
        <v>440</v>
      </c>
      <c r="D37" s="212" t="s">
        <v>9</v>
      </c>
      <c r="E37" s="213">
        <v>248</v>
      </c>
      <c r="F37" s="211" t="s">
        <v>10</v>
      </c>
      <c r="G37" s="211">
        <v>100</v>
      </c>
      <c r="H37" s="212" t="s">
        <v>9</v>
      </c>
      <c r="I37" s="213">
        <v>1</v>
      </c>
      <c r="J37" s="254" t="s">
        <v>11</v>
      </c>
      <c r="K37" s="255">
        <v>30</v>
      </c>
      <c r="L37" s="237" t="s">
        <v>12</v>
      </c>
      <c r="M37" s="211">
        <v>100</v>
      </c>
      <c r="N37" s="218" t="s">
        <v>9</v>
      </c>
      <c r="O37" s="185"/>
      <c r="P37" s="226" t="s">
        <v>7</v>
      </c>
      <c r="Q37" s="267">
        <v>5020</v>
      </c>
      <c r="R37" s="263" t="s">
        <v>9</v>
      </c>
      <c r="S37" s="272">
        <v>2510</v>
      </c>
      <c r="T37" s="265" t="s">
        <v>9</v>
      </c>
      <c r="U37" s="226" t="s">
        <v>7</v>
      </c>
      <c r="V37" s="235">
        <f t="shared" si="4"/>
        <v>1250</v>
      </c>
      <c r="W37" s="218" t="s">
        <v>9</v>
      </c>
      <c r="X37" s="226" t="s">
        <v>7</v>
      </c>
      <c r="Y37" s="235">
        <f>ROUNDDOWN($S37*$Y$8/$S$8,-1)</f>
        <v>830</v>
      </c>
      <c r="Z37" s="218" t="s">
        <v>9</v>
      </c>
      <c r="AA37" s="186"/>
      <c r="AB37" s="191"/>
      <c r="AC37" s="191" t="str">
        <f>IF(HLOOKUP($AC$5,名前2!$C:$J,33,0)=0,"",HLOOKUP($AC$5,名前2!$C:$J,33,0))</f>
        <v/>
      </c>
    </row>
    <row r="38" spans="1:29" ht="13.5" customHeight="1" x14ac:dyDescent="0.2">
      <c r="A38" s="243"/>
      <c r="B38" s="220"/>
      <c r="C38" s="208"/>
      <c r="D38" s="208"/>
      <c r="E38" s="208"/>
      <c r="F38" s="208"/>
      <c r="G38" s="208"/>
      <c r="H38" s="208"/>
      <c r="I38" s="208"/>
      <c r="J38" s="221"/>
      <c r="K38" s="222"/>
      <c r="L38" s="223"/>
      <c r="M38" s="208"/>
      <c r="N38" s="208"/>
      <c r="O38" s="208"/>
      <c r="P38" s="220"/>
      <c r="Q38" s="224"/>
      <c r="R38" s="208"/>
      <c r="S38" s="186"/>
      <c r="T38" s="186"/>
      <c r="U38" s="208"/>
      <c r="V38" s="186"/>
      <c r="W38" s="186"/>
      <c r="X38" s="186"/>
      <c r="Y38" s="186"/>
      <c r="Z38" s="186"/>
      <c r="AA38" s="186"/>
      <c r="AB38" s="191"/>
      <c r="AC38" s="191" t="str">
        <f>IF(HLOOKUP($AC$5,名前2!$C:$J,34,0)=0,"",HLOOKUP($AC$5,名前2!$C:$J,34,0))</f>
        <v/>
      </c>
    </row>
    <row r="39" spans="1:29" x14ac:dyDescent="0.2">
      <c r="A39" s="243"/>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91"/>
      <c r="AC39" s="191" t="str">
        <f>IF(HLOOKUP($AC$5,名前2!$C:$J,35,0)=0,"",HLOOKUP($AC$5,名前2!$C:$J,35,0))</f>
        <v/>
      </c>
    </row>
    <row r="40" spans="1:29" ht="13.5" customHeight="1" x14ac:dyDescent="0.2">
      <c r="A40" s="243"/>
      <c r="B40" s="188" t="s">
        <v>259</v>
      </c>
      <c r="C40" s="189" t="str">
        <f>HYPERLINK("#手引き!B46","手引きへ戻る")</f>
        <v>手引きへ戻る</v>
      </c>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91"/>
      <c r="AC41" s="191" t="str">
        <f>IF(HLOOKUP($AC$5,名前2!$C:$J,37,0)=0,"",HLOOKUP($AC$5,名前2!$C:$J,37,0))</f>
        <v/>
      </c>
    </row>
    <row r="42" spans="1:29"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91"/>
      <c r="AC42" s="191" t="str">
        <f>IF(HLOOKUP($AC$5,名前2!$C:$J,38,0)=0,"",HLOOKUP($AC$5,名前2!$C:$J,38,0))</f>
        <v/>
      </c>
    </row>
    <row r="43" spans="1:29"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91"/>
      <c r="AC43" s="191" t="str">
        <f>IF(HLOOKUP($AC$5,名前2!$C:$J,39,0)=0,"",HLOOKUP($AC$5,名前2!$C:$J,39,0))</f>
        <v/>
      </c>
    </row>
    <row r="44" spans="1:29" ht="13.5" customHeight="1"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91"/>
      <c r="AC44" s="191" t="str">
        <f>IF(HLOOKUP($AC$5,名前2!$C:$J,40,0)=0,"",HLOOKUP($AC$5,名前2!$C:$J,40,0))</f>
        <v/>
      </c>
    </row>
    <row r="45" spans="1:29" ht="13.5" customHeight="1" x14ac:dyDescent="0.2">
      <c r="A45" s="243"/>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91"/>
    </row>
    <row r="46" spans="1:29" x14ac:dyDescent="0.2">
      <c r="A46" s="243"/>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91"/>
    </row>
    <row r="47" spans="1:29" x14ac:dyDescent="0.2">
      <c r="A47" s="243"/>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91"/>
    </row>
    <row r="48" spans="1:29" x14ac:dyDescent="0.2">
      <c r="A48" s="243"/>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91"/>
    </row>
    <row r="49" spans="1:28" x14ac:dyDescent="0.2">
      <c r="A49" s="243"/>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91"/>
    </row>
    <row r="50" spans="1:28" x14ac:dyDescent="0.2">
      <c r="A50" s="243"/>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91"/>
    </row>
    <row r="51" spans="1:28" x14ac:dyDescent="0.2">
      <c r="A51" s="243"/>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row>
    <row r="52" spans="1:28" x14ac:dyDescent="0.2">
      <c r="A52" s="243"/>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row>
    <row r="53" spans="1:28" x14ac:dyDescent="0.2">
      <c r="A53" s="243"/>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row>
  </sheetData>
  <sheetProtection algorithmName="SHA-512" hashValue="VY7ARa1I9crhZFdkhxWPkjIz4+s1bZa3E0fOPhPcEzu3hpT/26ZHL/dKiXV7WlSQQpO+W/+HzYEyAM6ML63Lqg==" saltValue="SiJAkoeOkXzdxSQLFeWGVw==" spinCount="100000" sheet="1" objects="1" scenarios="1"/>
  <mergeCells count="48">
    <mergeCell ref="U29:U30"/>
    <mergeCell ref="V29:W29"/>
    <mergeCell ref="X29:X30"/>
    <mergeCell ref="Y29:Z29"/>
    <mergeCell ref="V30:W30"/>
    <mergeCell ref="Y30:Z30"/>
    <mergeCell ref="U18:U19"/>
    <mergeCell ref="V18:W18"/>
    <mergeCell ref="X18:X19"/>
    <mergeCell ref="Y18:Z18"/>
    <mergeCell ref="V19:W19"/>
    <mergeCell ref="Y19:Z19"/>
    <mergeCell ref="U7:U8"/>
    <mergeCell ref="V7:W7"/>
    <mergeCell ref="X7:X8"/>
    <mergeCell ref="Y7:Z7"/>
    <mergeCell ref="V8:W8"/>
    <mergeCell ref="Y8:Z8"/>
    <mergeCell ref="B29:B30"/>
    <mergeCell ref="C29:H29"/>
    <mergeCell ref="I29:N30"/>
    <mergeCell ref="P29:P30"/>
    <mergeCell ref="Q29:T29"/>
    <mergeCell ref="C30:D30"/>
    <mergeCell ref="E30:H30"/>
    <mergeCell ref="Q30:R30"/>
    <mergeCell ref="S30:T30"/>
    <mergeCell ref="B18:B19"/>
    <mergeCell ref="C18:H18"/>
    <mergeCell ref="I18:N19"/>
    <mergeCell ref="P18:P19"/>
    <mergeCell ref="Q18:T18"/>
    <mergeCell ref="C19:D19"/>
    <mergeCell ref="E19:H19"/>
    <mergeCell ref="Q19:R19"/>
    <mergeCell ref="S19:T19"/>
    <mergeCell ref="B2:R2"/>
    <mergeCell ref="B7:B8"/>
    <mergeCell ref="C7:H7"/>
    <mergeCell ref="I7:N8"/>
    <mergeCell ref="P7:P8"/>
    <mergeCell ref="Q7:T7"/>
    <mergeCell ref="C8:D8"/>
    <mergeCell ref="E8:H8"/>
    <mergeCell ref="Q8:R8"/>
    <mergeCell ref="S8:T8"/>
    <mergeCell ref="C3:S3"/>
    <mergeCell ref="C4:S4"/>
  </mergeCells>
  <phoneticPr fontId="1"/>
  <conditionalFormatting sqref="A9:A15">
    <cfRule type="expression" dxfId="11" priority="6">
      <formula>COUNTIF(A$9:A$15,"○")=1</formula>
    </cfRule>
  </conditionalFormatting>
  <conditionalFormatting sqref="A20:A26">
    <cfRule type="expression" dxfId="10" priority="4">
      <formula>COUNTIF(A$20:A$26,"○")=1</formula>
    </cfRule>
  </conditionalFormatting>
  <conditionalFormatting sqref="A31:A37">
    <cfRule type="expression" dxfId="9" priority="2">
      <formula>COUNTIF(A$31:A$37,"○")=1</formula>
    </cfRule>
  </conditionalFormatting>
  <conditionalFormatting sqref="O9:O15">
    <cfRule type="expression" dxfId="8" priority="5">
      <formula>COUNTIF(O$9:O$15,"○")=1</formula>
    </cfRule>
  </conditionalFormatting>
  <conditionalFormatting sqref="O20:O26">
    <cfRule type="expression" dxfId="7" priority="3">
      <formula>COUNTIF(O$20:O$26,"○")=1</formula>
    </cfRule>
  </conditionalFormatting>
  <conditionalFormatting sqref="O31:O37">
    <cfRule type="expression" dxfId="6" priority="1">
      <formula>COUNTIF(O$31:O$37,"○")=1</formula>
    </cfRule>
  </conditionalFormatting>
  <hyperlinks>
    <hyperlink ref="C40" location="手引き!Print_Area" display="手引きへ戻る" xr:uid="{00000000-0004-0000-0C00-000000000000}"/>
  </hyperlinks>
  <pageMargins left="0.78740157480314965" right="0.39370078740157483" top="0.59055118110236227" bottom="0.39370078740157483" header="0.51181102362204722" footer="0.51181102362204722"/>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名前2!$B$1:$B$2</xm:f>
          </x14:formula1>
          <xm:sqref>A31:A37 O9:O15 O20:O26 A9:A15 A20:A26 O31:O37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AC49"/>
  <sheetViews>
    <sheetView view="pageBreakPreview" zoomScaleNormal="100" zoomScaleSheetLayoutView="100" workbookViewId="0">
      <selection activeCell="AB6" sqref="AB6"/>
    </sheetView>
  </sheetViews>
  <sheetFormatPr defaultRowHeight="13.2" x14ac:dyDescent="0.2"/>
  <cols>
    <col min="1" max="1" width="3.33203125" style="29" customWidth="1"/>
    <col min="2" max="2" width="11" style="1" customWidth="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33203125" style="1" bestFit="1" customWidth="1"/>
    <col min="19" max="19" width="5.6640625" style="1" customWidth="1"/>
    <col min="20"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33203125" style="1" bestFit="1" customWidth="1"/>
    <col min="275" max="275" width="5.6640625" style="1" customWidth="1"/>
    <col min="276" max="276" width="9" style="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33203125" style="1" bestFit="1" customWidth="1"/>
    <col min="531" max="531" width="5.6640625" style="1" customWidth="1"/>
    <col min="532" max="532" width="9" style="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33203125" style="1" bestFit="1" customWidth="1"/>
    <col min="787" max="787" width="5.6640625" style="1" customWidth="1"/>
    <col min="788" max="788" width="9" style="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33203125" style="1" bestFit="1" customWidth="1"/>
    <col min="1043" max="1043" width="5.6640625" style="1" customWidth="1"/>
    <col min="1044" max="1044" width="9" style="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33203125" style="1" bestFit="1" customWidth="1"/>
    <col min="1299" max="1299" width="5.6640625" style="1" customWidth="1"/>
    <col min="1300" max="1300" width="9" style="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33203125" style="1" bestFit="1" customWidth="1"/>
    <col min="1555" max="1555" width="5.6640625" style="1" customWidth="1"/>
    <col min="1556" max="1556" width="9" style="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33203125" style="1" bestFit="1" customWidth="1"/>
    <col min="1811" max="1811" width="5.6640625" style="1" customWidth="1"/>
    <col min="1812" max="1812" width="9" style="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33203125" style="1" bestFit="1" customWidth="1"/>
    <col min="2067" max="2067" width="5.6640625" style="1" customWidth="1"/>
    <col min="2068" max="2068" width="9" style="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33203125" style="1" bestFit="1" customWidth="1"/>
    <col min="2323" max="2323" width="5.6640625" style="1" customWidth="1"/>
    <col min="2324" max="2324" width="9" style="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33203125" style="1" bestFit="1" customWidth="1"/>
    <col min="2579" max="2579" width="5.6640625" style="1" customWidth="1"/>
    <col min="2580" max="2580" width="9" style="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33203125" style="1" bestFit="1" customWidth="1"/>
    <col min="2835" max="2835" width="5.6640625" style="1" customWidth="1"/>
    <col min="2836" max="2836" width="9" style="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33203125" style="1" bestFit="1" customWidth="1"/>
    <col min="3091" max="3091" width="5.6640625" style="1" customWidth="1"/>
    <col min="3092" max="3092" width="9" style="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33203125" style="1" bestFit="1" customWidth="1"/>
    <col min="3347" max="3347" width="5.6640625" style="1" customWidth="1"/>
    <col min="3348" max="3348" width="9" style="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33203125" style="1" bestFit="1" customWidth="1"/>
    <col min="3603" max="3603" width="5.6640625" style="1" customWidth="1"/>
    <col min="3604" max="3604" width="9" style="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33203125" style="1" bestFit="1" customWidth="1"/>
    <col min="3859" max="3859" width="5.6640625" style="1" customWidth="1"/>
    <col min="3860" max="3860" width="9" style="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33203125" style="1" bestFit="1" customWidth="1"/>
    <col min="4115" max="4115" width="5.6640625" style="1" customWidth="1"/>
    <col min="4116" max="4116" width="9" style="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33203125" style="1" bestFit="1" customWidth="1"/>
    <col min="4371" max="4371" width="5.6640625" style="1" customWidth="1"/>
    <col min="4372" max="4372" width="9" style="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33203125" style="1" bestFit="1" customWidth="1"/>
    <col min="4627" max="4627" width="5.6640625" style="1" customWidth="1"/>
    <col min="4628" max="4628" width="9" style="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33203125" style="1" bestFit="1" customWidth="1"/>
    <col min="4883" max="4883" width="5.6640625" style="1" customWidth="1"/>
    <col min="4884" max="4884" width="9" style="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33203125" style="1" bestFit="1" customWidth="1"/>
    <col min="5139" max="5139" width="5.6640625" style="1" customWidth="1"/>
    <col min="5140" max="5140" width="9" style="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33203125" style="1" bestFit="1" customWidth="1"/>
    <col min="5395" max="5395" width="5.6640625" style="1" customWidth="1"/>
    <col min="5396" max="5396" width="9" style="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33203125" style="1" bestFit="1" customWidth="1"/>
    <col min="5651" max="5651" width="5.6640625" style="1" customWidth="1"/>
    <col min="5652" max="5652" width="9" style="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33203125" style="1" bestFit="1" customWidth="1"/>
    <col min="5907" max="5907" width="5.6640625" style="1" customWidth="1"/>
    <col min="5908" max="5908" width="9" style="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33203125" style="1" bestFit="1" customWidth="1"/>
    <col min="6163" max="6163" width="5.6640625" style="1" customWidth="1"/>
    <col min="6164" max="6164" width="9" style="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33203125" style="1" bestFit="1" customWidth="1"/>
    <col min="6419" max="6419" width="5.6640625" style="1" customWidth="1"/>
    <col min="6420" max="6420" width="9" style="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33203125" style="1" bestFit="1" customWidth="1"/>
    <col min="6675" max="6675" width="5.6640625" style="1" customWidth="1"/>
    <col min="6676" max="6676" width="9" style="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33203125" style="1" bestFit="1" customWidth="1"/>
    <col min="6931" max="6931" width="5.6640625" style="1" customWidth="1"/>
    <col min="6932" max="6932" width="9" style="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33203125" style="1" bestFit="1" customWidth="1"/>
    <col min="7187" max="7187" width="5.6640625" style="1" customWidth="1"/>
    <col min="7188" max="7188" width="9" style="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33203125" style="1" bestFit="1" customWidth="1"/>
    <col min="7443" max="7443" width="5.6640625" style="1" customWidth="1"/>
    <col min="7444" max="7444" width="9" style="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33203125" style="1" bestFit="1" customWidth="1"/>
    <col min="7699" max="7699" width="5.6640625" style="1" customWidth="1"/>
    <col min="7700" max="7700" width="9" style="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33203125" style="1" bestFit="1" customWidth="1"/>
    <col min="7955" max="7955" width="5.6640625" style="1" customWidth="1"/>
    <col min="7956" max="7956" width="9" style="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33203125" style="1" bestFit="1" customWidth="1"/>
    <col min="8211" max="8211" width="5.6640625" style="1" customWidth="1"/>
    <col min="8212" max="8212" width="9" style="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33203125" style="1" bestFit="1" customWidth="1"/>
    <col min="8467" max="8467" width="5.6640625" style="1" customWidth="1"/>
    <col min="8468" max="8468" width="9" style="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33203125" style="1" bestFit="1" customWidth="1"/>
    <col min="8723" max="8723" width="5.6640625" style="1" customWidth="1"/>
    <col min="8724" max="8724" width="9" style="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33203125" style="1" bestFit="1" customWidth="1"/>
    <col min="8979" max="8979" width="5.6640625" style="1" customWidth="1"/>
    <col min="8980" max="8980" width="9" style="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33203125" style="1" bestFit="1" customWidth="1"/>
    <col min="9235" max="9235" width="5.6640625" style="1" customWidth="1"/>
    <col min="9236" max="9236" width="9" style="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33203125" style="1" bestFit="1" customWidth="1"/>
    <col min="9491" max="9491" width="5.6640625" style="1" customWidth="1"/>
    <col min="9492" max="9492" width="9" style="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33203125" style="1" bestFit="1" customWidth="1"/>
    <col min="9747" max="9747" width="5.6640625" style="1" customWidth="1"/>
    <col min="9748" max="9748" width="9" style="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33203125" style="1" bestFit="1" customWidth="1"/>
    <col min="10003" max="10003" width="5.6640625" style="1" customWidth="1"/>
    <col min="10004" max="10004" width="9" style="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33203125" style="1" bestFit="1" customWidth="1"/>
    <col min="10259" max="10259" width="5.6640625" style="1" customWidth="1"/>
    <col min="10260" max="10260" width="9" style="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33203125" style="1" bestFit="1" customWidth="1"/>
    <col min="10515" max="10515" width="5.6640625" style="1" customWidth="1"/>
    <col min="10516" max="10516" width="9" style="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33203125" style="1" bestFit="1" customWidth="1"/>
    <col min="10771" max="10771" width="5.6640625" style="1" customWidth="1"/>
    <col min="10772" max="10772" width="9" style="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33203125" style="1" bestFit="1" customWidth="1"/>
    <col min="11027" max="11027" width="5.6640625" style="1" customWidth="1"/>
    <col min="11028" max="11028" width="9" style="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33203125" style="1" bestFit="1" customWidth="1"/>
    <col min="11283" max="11283" width="5.6640625" style="1" customWidth="1"/>
    <col min="11284" max="11284" width="9" style="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33203125" style="1" bestFit="1" customWidth="1"/>
    <col min="11539" max="11539" width="5.6640625" style="1" customWidth="1"/>
    <col min="11540" max="11540" width="9" style="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33203125" style="1" bestFit="1" customWidth="1"/>
    <col min="11795" max="11795" width="5.6640625" style="1" customWidth="1"/>
    <col min="11796" max="11796" width="9" style="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33203125" style="1" bestFit="1" customWidth="1"/>
    <col min="12051" max="12051" width="5.6640625" style="1" customWidth="1"/>
    <col min="12052" max="12052" width="9" style="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33203125" style="1" bestFit="1" customWidth="1"/>
    <col min="12307" max="12307" width="5.6640625" style="1" customWidth="1"/>
    <col min="12308" max="12308" width="9" style="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33203125" style="1" bestFit="1" customWidth="1"/>
    <col min="12563" max="12563" width="5.6640625" style="1" customWidth="1"/>
    <col min="12564" max="12564" width="9" style="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33203125" style="1" bestFit="1" customWidth="1"/>
    <col min="12819" max="12819" width="5.6640625" style="1" customWidth="1"/>
    <col min="12820" max="12820" width="9" style="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33203125" style="1" bestFit="1" customWidth="1"/>
    <col min="13075" max="13075" width="5.6640625" style="1" customWidth="1"/>
    <col min="13076" max="13076" width="9" style="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33203125" style="1" bestFit="1" customWidth="1"/>
    <col min="13331" max="13331" width="5.6640625" style="1" customWidth="1"/>
    <col min="13332" max="13332" width="9" style="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33203125" style="1" bestFit="1" customWidth="1"/>
    <col min="13587" max="13587" width="5.6640625" style="1" customWidth="1"/>
    <col min="13588" max="13588" width="9" style="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33203125" style="1" bestFit="1" customWidth="1"/>
    <col min="13843" max="13843" width="5.6640625" style="1" customWidth="1"/>
    <col min="13844" max="13844" width="9" style="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33203125" style="1" bestFit="1" customWidth="1"/>
    <col min="14099" max="14099" width="5.6640625" style="1" customWidth="1"/>
    <col min="14100" max="14100" width="9" style="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33203125" style="1" bestFit="1" customWidth="1"/>
    <col min="14355" max="14355" width="5.6640625" style="1" customWidth="1"/>
    <col min="14356" max="14356" width="9" style="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33203125" style="1" bestFit="1" customWidth="1"/>
    <col min="14611" max="14611" width="5.6640625" style="1" customWidth="1"/>
    <col min="14612" max="14612" width="9" style="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33203125" style="1" bestFit="1" customWidth="1"/>
    <col min="14867" max="14867" width="5.6640625" style="1" customWidth="1"/>
    <col min="14868" max="14868" width="9" style="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33203125" style="1" bestFit="1" customWidth="1"/>
    <col min="15123" max="15123" width="5.6640625" style="1" customWidth="1"/>
    <col min="15124" max="15124" width="9" style="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33203125" style="1" bestFit="1" customWidth="1"/>
    <col min="15379" max="15379" width="5.6640625" style="1" customWidth="1"/>
    <col min="15380" max="15380" width="9" style="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33203125" style="1" bestFit="1" customWidth="1"/>
    <col min="15635" max="15635" width="5.6640625" style="1" customWidth="1"/>
    <col min="15636" max="15636" width="9" style="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33203125" style="1" bestFit="1" customWidth="1"/>
    <col min="15891" max="15891" width="5.6640625" style="1" customWidth="1"/>
    <col min="15892" max="15892" width="9" style="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33203125" style="1" bestFit="1" customWidth="1"/>
    <col min="16147" max="16147" width="5.6640625" style="1" customWidth="1"/>
    <col min="16148" max="16148" width="9" style="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569"/>
      <c r="N1" s="570"/>
      <c r="O1" s="570"/>
      <c r="P1" s="570"/>
      <c r="Q1" s="570"/>
      <c r="R1" s="570"/>
      <c r="S1" s="186"/>
      <c r="T1" s="186"/>
      <c r="U1" s="186"/>
      <c r="V1" s="186"/>
      <c r="W1" s="186"/>
      <c r="X1" s="186"/>
      <c r="Y1" s="186"/>
      <c r="Z1" s="186"/>
      <c r="AA1" s="186"/>
      <c r="AB1" s="186"/>
      <c r="AC1" s="186"/>
    </row>
    <row r="2" spans="1:29" ht="13.5" customHeight="1" x14ac:dyDescent="0.2">
      <c r="A2" s="446"/>
      <c r="B2" s="549" t="s">
        <v>484</v>
      </c>
      <c r="C2" s="549"/>
      <c r="D2" s="549"/>
      <c r="E2" s="549"/>
      <c r="F2" s="549"/>
      <c r="G2" s="549"/>
      <c r="H2" s="549"/>
      <c r="I2" s="549"/>
      <c r="J2" s="549"/>
      <c r="K2" s="549"/>
      <c r="L2" s="549"/>
      <c r="M2" s="549"/>
      <c r="N2" s="549"/>
      <c r="O2" s="549"/>
      <c r="P2" s="549"/>
      <c r="Q2" s="549"/>
      <c r="R2" s="549"/>
      <c r="S2" s="186"/>
      <c r="T2" s="186"/>
      <c r="U2" s="186"/>
      <c r="V2" s="186"/>
      <c r="W2" s="186"/>
      <c r="X2" s="186"/>
      <c r="Y2" s="186"/>
      <c r="Z2" s="186"/>
      <c r="AA2" s="186"/>
      <c r="AB2" s="186"/>
      <c r="AC2" s="186"/>
    </row>
    <row r="3" spans="1:29" ht="13.5" customHeight="1" x14ac:dyDescent="0.2">
      <c r="A3" s="446"/>
      <c r="B3" s="187"/>
      <c r="C3" s="561" t="s">
        <v>324</v>
      </c>
      <c r="D3" s="561"/>
      <c r="E3" s="561"/>
      <c r="F3" s="561"/>
      <c r="G3" s="561"/>
      <c r="H3" s="561"/>
      <c r="I3" s="561"/>
      <c r="J3" s="561"/>
      <c r="K3" s="561"/>
      <c r="L3" s="561"/>
      <c r="M3" s="561"/>
      <c r="N3" s="561"/>
      <c r="O3" s="561"/>
      <c r="P3" s="561"/>
      <c r="Q3" s="561"/>
      <c r="R3" s="561"/>
      <c r="S3" s="561"/>
      <c r="T3" s="186"/>
      <c r="U3" s="186"/>
      <c r="V3" s="186"/>
      <c r="W3" s="186"/>
      <c r="X3" s="186"/>
      <c r="Y3" s="186"/>
      <c r="Z3" s="186"/>
      <c r="AA3" s="186"/>
      <c r="AB3" s="186"/>
      <c r="AC3" s="186"/>
    </row>
    <row r="4" spans="1:29" ht="13.5" customHeight="1" x14ac:dyDescent="0.2">
      <c r="A4" s="243" t="s">
        <v>1</v>
      </c>
      <c r="B4" s="186"/>
      <c r="C4" s="522" t="s">
        <v>478</v>
      </c>
      <c r="D4" s="522"/>
      <c r="E4" s="522"/>
      <c r="F4" s="522"/>
      <c r="G4" s="522"/>
      <c r="H4" s="522"/>
      <c r="I4" s="522"/>
      <c r="J4" s="522"/>
      <c r="K4" s="522"/>
      <c r="L4" s="522"/>
      <c r="M4" s="522"/>
      <c r="N4" s="522"/>
      <c r="O4" s="522"/>
      <c r="P4" s="522"/>
      <c r="Q4" s="522"/>
      <c r="R4" s="522"/>
      <c r="S4" s="522"/>
      <c r="T4" s="186"/>
      <c r="U4" s="186"/>
      <c r="V4" s="186"/>
      <c r="W4" s="186"/>
      <c r="X4" s="186"/>
      <c r="Y4" s="186"/>
      <c r="Z4" s="186"/>
      <c r="AA4" s="186"/>
      <c r="AB4" s="186" t="s">
        <v>319</v>
      </c>
      <c r="AC4" s="186"/>
    </row>
    <row r="5" spans="1:29" ht="13.5" customHeight="1" x14ac:dyDescent="0.2">
      <c r="A5" s="243"/>
      <c r="B5" s="186"/>
      <c r="C5" s="186"/>
      <c r="D5" s="188" t="s">
        <v>259</v>
      </c>
      <c r="E5" s="186"/>
      <c r="F5" s="186"/>
      <c r="G5" s="186"/>
      <c r="H5" s="189" t="str">
        <f>HYPERLINK("#手引き!B46","手引きへ戻る")</f>
        <v>手引きへ戻る</v>
      </c>
      <c r="I5" s="186"/>
      <c r="J5" s="186"/>
      <c r="K5" s="186"/>
      <c r="L5" s="186"/>
      <c r="M5" s="186"/>
      <c r="N5" s="186"/>
      <c r="O5" s="186"/>
      <c r="P5" s="186"/>
      <c r="Q5" s="186"/>
      <c r="R5" s="186"/>
      <c r="S5" s="186"/>
      <c r="T5" s="186"/>
      <c r="U5" s="186" t="s">
        <v>317</v>
      </c>
      <c r="V5" s="186"/>
      <c r="W5" s="239"/>
      <c r="X5" s="186"/>
      <c r="Y5" s="186"/>
      <c r="Z5" s="186"/>
      <c r="AA5" s="186"/>
      <c r="AB5" s="186" t="s">
        <v>429</v>
      </c>
      <c r="AC5" s="186" t="s">
        <v>430</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86"/>
      <c r="C7" s="588" t="s">
        <v>3</v>
      </c>
      <c r="D7" s="594"/>
      <c r="E7" s="594"/>
      <c r="F7" s="594"/>
      <c r="G7" s="594"/>
      <c r="H7" s="595"/>
      <c r="I7" s="596" t="s">
        <v>4</v>
      </c>
      <c r="J7" s="597"/>
      <c r="K7" s="597"/>
      <c r="L7" s="597"/>
      <c r="M7" s="597"/>
      <c r="N7" s="598"/>
      <c r="O7" s="186"/>
      <c r="P7" s="586"/>
      <c r="Q7" s="588" t="s">
        <v>5</v>
      </c>
      <c r="R7" s="589"/>
      <c r="S7" s="186"/>
      <c r="T7" s="186"/>
      <c r="U7" s="550"/>
      <c r="V7" s="552" t="s">
        <v>5</v>
      </c>
      <c r="W7" s="560"/>
      <c r="X7" s="550"/>
      <c r="Y7" s="552" t="s">
        <v>5</v>
      </c>
      <c r="Z7" s="560"/>
      <c r="AA7" s="186"/>
      <c r="AB7" s="191"/>
      <c r="AC7" s="191" t="str">
        <f>HLOOKUP($AC$5,名前2!$C:$J,3,0)</f>
        <v>「普通自動車」という。）又は小型自動車（以下「小型</v>
      </c>
    </row>
    <row r="8" spans="1:29" ht="30" customHeight="1" thickBot="1" x14ac:dyDescent="0.25">
      <c r="A8" s="447" t="str">
        <f>IF(COUNTIF(A9:A18,"○")=0,"無","")</f>
        <v>無</v>
      </c>
      <c r="B8" s="587"/>
      <c r="C8" s="590" t="s">
        <v>27</v>
      </c>
      <c r="D8" s="602"/>
      <c r="E8" s="603" t="s">
        <v>6</v>
      </c>
      <c r="F8" s="604"/>
      <c r="G8" s="604"/>
      <c r="H8" s="605"/>
      <c r="I8" s="599"/>
      <c r="J8" s="600"/>
      <c r="K8" s="600"/>
      <c r="L8" s="600"/>
      <c r="M8" s="600"/>
      <c r="N8" s="601"/>
      <c r="O8" s="193" t="str">
        <f>IF(COUNTIF(O9:O18,"○")=0,"無","")</f>
        <v>無</v>
      </c>
      <c r="P8" s="587"/>
      <c r="Q8" s="547">
        <v>30</v>
      </c>
      <c r="R8" s="548"/>
      <c r="S8" s="186"/>
      <c r="T8" s="186"/>
      <c r="U8" s="551"/>
      <c r="V8" s="547">
        <v>15</v>
      </c>
      <c r="W8" s="548"/>
      <c r="X8" s="551"/>
      <c r="Y8" s="547">
        <v>10</v>
      </c>
      <c r="Z8" s="548"/>
      <c r="AA8" s="186"/>
      <c r="AB8" s="191"/>
      <c r="AC8" s="191" t="str">
        <f>HLOOKUP($AC$5,名前2!$C:$J,4,0)</f>
        <v>自動車」という。）のうち乗車定員が７名以上のもの。</v>
      </c>
    </row>
    <row r="9" spans="1:29" ht="16.5" customHeight="1" thickTop="1" x14ac:dyDescent="0.2">
      <c r="A9" s="448"/>
      <c r="B9" s="414" t="s">
        <v>8</v>
      </c>
      <c r="C9" s="415">
        <v>720</v>
      </c>
      <c r="D9" s="416" t="s">
        <v>9</v>
      </c>
      <c r="E9" s="417">
        <v>175</v>
      </c>
      <c r="F9" s="418" t="s">
        <v>10</v>
      </c>
      <c r="G9" s="415">
        <v>100</v>
      </c>
      <c r="H9" s="416" t="s">
        <v>9</v>
      </c>
      <c r="I9" s="419">
        <f t="shared" ref="I9:I14" si="0">TRUNC(CEILING(ROUNDUP(E9*0.36,0),5)/60,0)</f>
        <v>1</v>
      </c>
      <c r="J9" s="420" t="s">
        <v>11</v>
      </c>
      <c r="K9" s="421">
        <f t="shared" ref="K9:K14" si="1">TRUNC(CEILING(ROUNDUP(E9*0.36,0),5)-I9*60,0)</f>
        <v>5</v>
      </c>
      <c r="L9" s="422" t="s">
        <v>12</v>
      </c>
      <c r="M9" s="415">
        <v>100</v>
      </c>
      <c r="N9" s="423" t="s">
        <v>9</v>
      </c>
      <c r="O9" s="185"/>
      <c r="P9" s="414" t="s">
        <v>8</v>
      </c>
      <c r="Q9" s="441">
        <v>3900</v>
      </c>
      <c r="R9" s="423" t="s">
        <v>9</v>
      </c>
      <c r="S9" s="186"/>
      <c r="T9" s="186"/>
      <c r="U9" s="195" t="str">
        <f>P9</f>
        <v>上限運賃</v>
      </c>
      <c r="V9" s="207">
        <f>ROUNDDOWN($Q9*$V$8/$Q$8,-1)</f>
        <v>1950</v>
      </c>
      <c r="W9" s="209" t="s">
        <v>9</v>
      </c>
      <c r="X9" s="195" t="str">
        <f>P9</f>
        <v>上限運賃</v>
      </c>
      <c r="Y9" s="207">
        <f>ROUNDDOWN($Q9*$Y$8/$Q$8,-1)</f>
        <v>1300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424" t="s">
        <v>488</v>
      </c>
      <c r="C10" s="425">
        <f t="shared" ref="C10:C18" si="2">C9-10</f>
        <v>710</v>
      </c>
      <c r="D10" s="426" t="s">
        <v>9</v>
      </c>
      <c r="E10" s="427">
        <f>ROUND(E$9/(C10/C$9),0)</f>
        <v>177</v>
      </c>
      <c r="F10" s="425" t="s">
        <v>10</v>
      </c>
      <c r="G10" s="425">
        <v>100</v>
      </c>
      <c r="H10" s="426" t="s">
        <v>9</v>
      </c>
      <c r="I10" s="419">
        <f t="shared" si="0"/>
        <v>1</v>
      </c>
      <c r="J10" s="420" t="s">
        <v>11</v>
      </c>
      <c r="K10" s="421">
        <f t="shared" si="1"/>
        <v>5</v>
      </c>
      <c r="L10" s="422" t="s">
        <v>12</v>
      </c>
      <c r="M10" s="425">
        <v>100</v>
      </c>
      <c r="N10" s="428" t="s">
        <v>9</v>
      </c>
      <c r="O10" s="185"/>
      <c r="P10" s="424" t="s">
        <v>13</v>
      </c>
      <c r="Q10" s="427">
        <f>ROUNDUP((C10/C$9)*Q$9,-1)</f>
        <v>3850</v>
      </c>
      <c r="R10" s="428" t="s">
        <v>9</v>
      </c>
      <c r="S10" s="186"/>
      <c r="T10" s="186"/>
      <c r="U10" s="413" t="str">
        <f t="shared" ref="U10:U14" si="3">P10</f>
        <v>Ｂ運賃</v>
      </c>
      <c r="V10" s="234">
        <f t="shared" ref="V10:V18" si="4">ROUNDDOWN($Q10*$V$8/$Q$8,-1)</f>
        <v>1920</v>
      </c>
      <c r="W10" s="232" t="s">
        <v>9</v>
      </c>
      <c r="X10" s="413" t="str">
        <f t="shared" ref="X10:X14" si="5">P10</f>
        <v>Ｂ運賃</v>
      </c>
      <c r="Y10" s="234">
        <f t="shared" ref="Y10:Y18" si="6">ROUNDDOWN($Q10*$Y$8/$Q$8,-1)</f>
        <v>1280</v>
      </c>
      <c r="Z10" s="232" t="s">
        <v>9</v>
      </c>
      <c r="AA10" s="186"/>
      <c r="AB10" s="191"/>
      <c r="AC10" s="191" t="str">
        <f>HLOOKUP($AC$5,名前2!$C:$J,6,0)</f>
        <v>動車にあっては２．５リットル。）を超えるもので</v>
      </c>
    </row>
    <row r="11" spans="1:29" ht="16.5" customHeight="1" x14ac:dyDescent="0.2">
      <c r="A11" s="448"/>
      <c r="B11" s="424" t="s">
        <v>31</v>
      </c>
      <c r="C11" s="429">
        <f t="shared" si="2"/>
        <v>700</v>
      </c>
      <c r="D11" s="430" t="s">
        <v>9</v>
      </c>
      <c r="E11" s="427">
        <f>ROUND(E$9/(C11/C$9),0)</f>
        <v>180</v>
      </c>
      <c r="F11" s="429" t="s">
        <v>10</v>
      </c>
      <c r="G11" s="429">
        <v>100</v>
      </c>
      <c r="H11" s="430" t="s">
        <v>9</v>
      </c>
      <c r="I11" s="419">
        <f t="shared" si="0"/>
        <v>1</v>
      </c>
      <c r="J11" s="420" t="s">
        <v>11</v>
      </c>
      <c r="K11" s="421">
        <f t="shared" si="1"/>
        <v>5</v>
      </c>
      <c r="L11" s="422" t="s">
        <v>12</v>
      </c>
      <c r="M11" s="429">
        <v>100</v>
      </c>
      <c r="N11" s="431" t="s">
        <v>9</v>
      </c>
      <c r="O11" s="185"/>
      <c r="P11" s="424" t="s">
        <v>31</v>
      </c>
      <c r="Q11" s="427">
        <f>ROUNDUP((C11/C$9)*Q$9,-1)</f>
        <v>3800</v>
      </c>
      <c r="R11" s="428" t="s">
        <v>9</v>
      </c>
      <c r="S11" s="186"/>
      <c r="T11" s="186"/>
      <c r="U11" s="413" t="str">
        <f t="shared" si="3"/>
        <v>Ｃ運賃</v>
      </c>
      <c r="V11" s="234">
        <f t="shared" si="4"/>
        <v>1900</v>
      </c>
      <c r="W11" s="232" t="s">
        <v>9</v>
      </c>
      <c r="X11" s="413" t="str">
        <f t="shared" si="5"/>
        <v>Ｃ運賃</v>
      </c>
      <c r="Y11" s="234">
        <f t="shared" si="6"/>
        <v>1260</v>
      </c>
      <c r="Z11" s="232" t="s">
        <v>9</v>
      </c>
      <c r="AA11" s="186"/>
      <c r="AB11" s="191"/>
      <c r="AC11" s="191" t="str">
        <f>HLOOKUP($AC$5,名前2!$C:$J,7,0)</f>
        <v>あって乗車定員が６名以下のもの。</v>
      </c>
    </row>
    <row r="12" spans="1:29" ht="16.5" customHeight="1" x14ac:dyDescent="0.2">
      <c r="A12" s="448"/>
      <c r="B12" s="424" t="s">
        <v>32</v>
      </c>
      <c r="C12" s="429">
        <f t="shared" si="2"/>
        <v>690</v>
      </c>
      <c r="D12" s="430" t="s">
        <v>9</v>
      </c>
      <c r="E12" s="427">
        <f>E23</f>
        <v>200</v>
      </c>
      <c r="F12" s="429" t="s">
        <v>10</v>
      </c>
      <c r="G12" s="429">
        <v>100</v>
      </c>
      <c r="H12" s="430" t="s">
        <v>9</v>
      </c>
      <c r="I12" s="419">
        <f t="shared" si="0"/>
        <v>1</v>
      </c>
      <c r="J12" s="420" t="s">
        <v>11</v>
      </c>
      <c r="K12" s="421">
        <f t="shared" si="1"/>
        <v>15</v>
      </c>
      <c r="L12" s="422" t="s">
        <v>12</v>
      </c>
      <c r="M12" s="429">
        <v>100</v>
      </c>
      <c r="N12" s="431" t="s">
        <v>9</v>
      </c>
      <c r="O12" s="185"/>
      <c r="P12" s="424" t="s">
        <v>32</v>
      </c>
      <c r="Q12" s="427">
        <f>Q23</f>
        <v>3450</v>
      </c>
      <c r="R12" s="428" t="s">
        <v>9</v>
      </c>
      <c r="S12" s="186"/>
      <c r="T12" s="208"/>
      <c r="U12" s="413" t="str">
        <f t="shared" si="3"/>
        <v>Ｄ運賃</v>
      </c>
      <c r="V12" s="234">
        <f t="shared" si="4"/>
        <v>1720</v>
      </c>
      <c r="W12" s="232" t="s">
        <v>9</v>
      </c>
      <c r="X12" s="413" t="str">
        <f t="shared" si="5"/>
        <v>Ｄ運賃</v>
      </c>
      <c r="Y12" s="234">
        <f t="shared" si="6"/>
        <v>1150</v>
      </c>
      <c r="Z12" s="232" t="s">
        <v>9</v>
      </c>
      <c r="AA12" s="186"/>
      <c r="AB12" s="191" t="str">
        <f>HLOOKUP($AB$5,名前2!$C:$J,8,0)</f>
        <v>普　通　車</v>
      </c>
      <c r="AC12" s="191" t="str">
        <f>HLOOKUP($AC$5,名前2!$C:$J,8,0)</f>
        <v>以下のいずれかに該当する自動車。</v>
      </c>
    </row>
    <row r="13" spans="1:29" ht="16.5" customHeight="1" x14ac:dyDescent="0.2">
      <c r="A13" s="448"/>
      <c r="B13" s="424" t="s">
        <v>38</v>
      </c>
      <c r="C13" s="429">
        <f t="shared" si="2"/>
        <v>680</v>
      </c>
      <c r="D13" s="430" t="s">
        <v>9</v>
      </c>
      <c r="E13" s="427">
        <f t="shared" ref="E13:E18" si="7">E24</f>
        <v>203</v>
      </c>
      <c r="F13" s="429" t="s">
        <v>10</v>
      </c>
      <c r="G13" s="429">
        <v>100</v>
      </c>
      <c r="H13" s="430" t="s">
        <v>9</v>
      </c>
      <c r="I13" s="419">
        <f t="shared" si="0"/>
        <v>1</v>
      </c>
      <c r="J13" s="420" t="s">
        <v>11</v>
      </c>
      <c r="K13" s="421">
        <f t="shared" si="1"/>
        <v>15</v>
      </c>
      <c r="L13" s="422" t="s">
        <v>12</v>
      </c>
      <c r="M13" s="429">
        <v>100</v>
      </c>
      <c r="N13" s="431" t="s">
        <v>9</v>
      </c>
      <c r="O13" s="185"/>
      <c r="P13" s="424" t="s">
        <v>38</v>
      </c>
      <c r="Q13" s="427">
        <f>Q24</f>
        <v>3400</v>
      </c>
      <c r="R13" s="428" t="s">
        <v>9</v>
      </c>
      <c r="S13" s="186"/>
      <c r="T13" s="208"/>
      <c r="U13" s="413" t="str">
        <f t="shared" si="3"/>
        <v>Ｅ運賃</v>
      </c>
      <c r="V13" s="234">
        <f t="shared" si="4"/>
        <v>1700</v>
      </c>
      <c r="W13" s="232" t="s">
        <v>9</v>
      </c>
      <c r="X13" s="413" t="str">
        <f t="shared" si="5"/>
        <v>Ｅ運賃</v>
      </c>
      <c r="Y13" s="234">
        <f t="shared" si="6"/>
        <v>1130</v>
      </c>
      <c r="Z13" s="232" t="s">
        <v>9</v>
      </c>
      <c r="AA13" s="186"/>
      <c r="AB13" s="191"/>
      <c r="AC13" s="191" t="str">
        <f>HLOOKUP($AC$5,名前2!$C:$J,9,0)</f>
        <v>一　普通自動車又は小型自動車のうち特定大型車及び大型</v>
      </c>
    </row>
    <row r="14" spans="1:29" ht="16.5" customHeight="1" x14ac:dyDescent="0.2">
      <c r="A14" s="448"/>
      <c r="B14" s="424" t="s">
        <v>37</v>
      </c>
      <c r="C14" s="429">
        <f t="shared" si="2"/>
        <v>670</v>
      </c>
      <c r="D14" s="430" t="s">
        <v>9</v>
      </c>
      <c r="E14" s="427">
        <f t="shared" si="7"/>
        <v>206</v>
      </c>
      <c r="F14" s="429" t="s">
        <v>10</v>
      </c>
      <c r="G14" s="429">
        <v>100</v>
      </c>
      <c r="H14" s="430" t="s">
        <v>9</v>
      </c>
      <c r="I14" s="419">
        <f t="shared" si="0"/>
        <v>1</v>
      </c>
      <c r="J14" s="420" t="s">
        <v>11</v>
      </c>
      <c r="K14" s="421">
        <f t="shared" si="1"/>
        <v>15</v>
      </c>
      <c r="L14" s="422" t="s">
        <v>12</v>
      </c>
      <c r="M14" s="429">
        <v>100</v>
      </c>
      <c r="N14" s="431" t="s">
        <v>9</v>
      </c>
      <c r="O14" s="185"/>
      <c r="P14" s="424" t="s">
        <v>37</v>
      </c>
      <c r="Q14" s="427">
        <f t="shared" ref="Q14:Q18" si="8">Q25</f>
        <v>3350</v>
      </c>
      <c r="R14" s="428" t="s">
        <v>9</v>
      </c>
      <c r="S14" s="186"/>
      <c r="T14" s="208"/>
      <c r="U14" s="413" t="str">
        <f t="shared" si="3"/>
        <v>Ｆ運賃</v>
      </c>
      <c r="V14" s="234">
        <f t="shared" si="4"/>
        <v>1670</v>
      </c>
      <c r="W14" s="232" t="s">
        <v>9</v>
      </c>
      <c r="X14" s="413" t="str">
        <f t="shared" si="5"/>
        <v>Ｆ運賃</v>
      </c>
      <c r="Y14" s="234">
        <f t="shared" si="6"/>
        <v>1110</v>
      </c>
      <c r="Z14" s="232" t="s">
        <v>9</v>
      </c>
      <c r="AA14" s="186"/>
      <c r="AB14" s="191"/>
      <c r="AC14" s="191" t="str">
        <f>HLOOKUP($AC$5,名前2!$C:$J,10,0)</f>
        <v>車に該当する自動車以外のもの。</v>
      </c>
    </row>
    <row r="15" spans="1:29" ht="16.5" customHeight="1" x14ac:dyDescent="0.2">
      <c r="A15" s="448"/>
      <c r="B15" s="424" t="s">
        <v>380</v>
      </c>
      <c r="C15" s="429">
        <f t="shared" si="2"/>
        <v>660</v>
      </c>
      <c r="D15" s="430" t="s">
        <v>9</v>
      </c>
      <c r="E15" s="427">
        <f t="shared" si="7"/>
        <v>209</v>
      </c>
      <c r="F15" s="429" t="s">
        <v>10</v>
      </c>
      <c r="G15" s="429">
        <v>100</v>
      </c>
      <c r="H15" s="430" t="s">
        <v>9</v>
      </c>
      <c r="I15" s="419">
        <f>TRUNC(CEILING(ROUNDUP(E15*0.36,0),5)/60,0)</f>
        <v>1</v>
      </c>
      <c r="J15" s="420" t="s">
        <v>11</v>
      </c>
      <c r="K15" s="421">
        <f>TRUNC(CEILING(ROUNDUP(E15*0.36,0),5)-I15*60,0)</f>
        <v>20</v>
      </c>
      <c r="L15" s="422" t="s">
        <v>12</v>
      </c>
      <c r="M15" s="429">
        <v>100</v>
      </c>
      <c r="N15" s="431" t="s">
        <v>9</v>
      </c>
      <c r="O15" s="185"/>
      <c r="P15" s="424" t="s">
        <v>380</v>
      </c>
      <c r="Q15" s="427">
        <f t="shared" si="8"/>
        <v>3300</v>
      </c>
      <c r="R15" s="428" t="s">
        <v>9</v>
      </c>
      <c r="S15" s="186"/>
      <c r="T15" s="208"/>
      <c r="U15" s="413" t="s">
        <v>380</v>
      </c>
      <c r="V15" s="234">
        <f t="shared" si="4"/>
        <v>1650</v>
      </c>
      <c r="W15" s="232" t="s">
        <v>9</v>
      </c>
      <c r="X15" s="413" t="s">
        <v>380</v>
      </c>
      <c r="Y15" s="234">
        <f t="shared" si="6"/>
        <v>1100</v>
      </c>
      <c r="Z15" s="232" t="s">
        <v>9</v>
      </c>
      <c r="AA15" s="186"/>
      <c r="AB15" s="191"/>
      <c r="AC15" s="191" t="str">
        <f>HLOOKUP($AC$5,名前2!$C:$J,11,0)</f>
        <v>二　道路運送車両法施行規則第２条に定める軽自動車（</v>
      </c>
    </row>
    <row r="16" spans="1:29" ht="16.5" customHeight="1" x14ac:dyDescent="0.2">
      <c r="A16" s="448"/>
      <c r="B16" s="424" t="s">
        <v>485</v>
      </c>
      <c r="C16" s="429">
        <f t="shared" si="2"/>
        <v>650</v>
      </c>
      <c r="D16" s="430" t="s">
        <v>9</v>
      </c>
      <c r="E16" s="427">
        <f t="shared" si="7"/>
        <v>250</v>
      </c>
      <c r="F16" s="429" t="s">
        <v>10</v>
      </c>
      <c r="G16" s="429">
        <v>100</v>
      </c>
      <c r="H16" s="430" t="s">
        <v>9</v>
      </c>
      <c r="I16" s="419">
        <f t="shared" ref="I16:I18" si="9">TRUNC(CEILING(ROUNDUP(E16*0.36,0),5)/60,0)</f>
        <v>1</v>
      </c>
      <c r="J16" s="420" t="s">
        <v>11</v>
      </c>
      <c r="K16" s="421">
        <f t="shared" ref="K16:K18" si="10">TRUNC(CEILING(ROUNDUP(E16*0.36,0),5)-I16*60,0)</f>
        <v>30</v>
      </c>
      <c r="L16" s="422" t="s">
        <v>12</v>
      </c>
      <c r="M16" s="429">
        <v>100</v>
      </c>
      <c r="N16" s="431" t="s">
        <v>9</v>
      </c>
      <c r="O16" s="185"/>
      <c r="P16" s="424" t="s">
        <v>485</v>
      </c>
      <c r="Q16" s="442">
        <f t="shared" si="8"/>
        <v>3000</v>
      </c>
      <c r="R16" s="431" t="s">
        <v>9</v>
      </c>
      <c r="S16" s="186"/>
      <c r="T16" s="208"/>
      <c r="U16" s="413" t="str">
        <f t="shared" ref="U16" si="11">P16</f>
        <v>Ｈ運賃</v>
      </c>
      <c r="V16" s="234">
        <f t="shared" si="4"/>
        <v>1500</v>
      </c>
      <c r="W16" s="232" t="s">
        <v>9</v>
      </c>
      <c r="X16" s="413" t="str">
        <f t="shared" ref="X16" si="12">P16</f>
        <v>Ｈ運賃</v>
      </c>
      <c r="Y16" s="234">
        <f t="shared" si="6"/>
        <v>1000</v>
      </c>
      <c r="Z16" s="232" t="s">
        <v>9</v>
      </c>
      <c r="AA16" s="186"/>
      <c r="AB16" s="191"/>
      <c r="AC16" s="191" t="str">
        <f>HLOOKUP($AC$5,名前2!$C:$J,12,0)</f>
        <v>以下「軽自動車」という。）のうち、内燃機関を搭載し</v>
      </c>
    </row>
    <row r="17" spans="1:29" ht="16.5" customHeight="1" x14ac:dyDescent="0.2">
      <c r="A17" s="448"/>
      <c r="B17" s="424" t="s">
        <v>486</v>
      </c>
      <c r="C17" s="429">
        <f t="shared" si="2"/>
        <v>640</v>
      </c>
      <c r="D17" s="430" t="s">
        <v>9</v>
      </c>
      <c r="E17" s="427">
        <f t="shared" si="7"/>
        <v>254</v>
      </c>
      <c r="F17" s="429" t="s">
        <v>10</v>
      </c>
      <c r="G17" s="429">
        <v>100</v>
      </c>
      <c r="H17" s="430" t="s">
        <v>9</v>
      </c>
      <c r="I17" s="419">
        <f t="shared" si="9"/>
        <v>1</v>
      </c>
      <c r="J17" s="420" t="s">
        <v>11</v>
      </c>
      <c r="K17" s="421">
        <f t="shared" si="10"/>
        <v>35</v>
      </c>
      <c r="L17" s="422" t="s">
        <v>12</v>
      </c>
      <c r="M17" s="429">
        <v>100</v>
      </c>
      <c r="N17" s="431" t="s">
        <v>9</v>
      </c>
      <c r="O17" s="185"/>
      <c r="P17" s="424" t="s">
        <v>486</v>
      </c>
      <c r="Q17" s="442">
        <f t="shared" si="8"/>
        <v>2960</v>
      </c>
      <c r="R17" s="431" t="s">
        <v>9</v>
      </c>
      <c r="S17" s="186"/>
      <c r="T17" s="208"/>
      <c r="U17" s="413" t="s">
        <v>380</v>
      </c>
      <c r="V17" s="234">
        <f t="shared" si="4"/>
        <v>1480</v>
      </c>
      <c r="W17" s="232" t="s">
        <v>9</v>
      </c>
      <c r="X17" s="413" t="s">
        <v>380</v>
      </c>
      <c r="Y17" s="234">
        <f t="shared" si="6"/>
        <v>980</v>
      </c>
      <c r="Z17" s="232" t="s">
        <v>9</v>
      </c>
      <c r="AA17" s="186"/>
      <c r="AB17" s="191"/>
      <c r="AC17" s="191" t="str">
        <f>HLOOKUP($AC$5,名前2!$C:$J,13,0)</f>
        <v>ないもの又は福祉輸送サービスの用に供するものに限る。</v>
      </c>
    </row>
    <row r="18" spans="1:29" ht="16.5" customHeight="1" thickBot="1" x14ac:dyDescent="0.25">
      <c r="A18" s="448"/>
      <c r="B18" s="432" t="s">
        <v>7</v>
      </c>
      <c r="C18" s="433">
        <f t="shared" si="2"/>
        <v>630</v>
      </c>
      <c r="D18" s="434" t="s">
        <v>9</v>
      </c>
      <c r="E18" s="435">
        <f t="shared" si="7"/>
        <v>258</v>
      </c>
      <c r="F18" s="433" t="s">
        <v>10</v>
      </c>
      <c r="G18" s="433">
        <v>100</v>
      </c>
      <c r="H18" s="434" t="s">
        <v>9</v>
      </c>
      <c r="I18" s="436">
        <f t="shared" si="9"/>
        <v>1</v>
      </c>
      <c r="J18" s="437" t="s">
        <v>11</v>
      </c>
      <c r="K18" s="438">
        <f t="shared" si="10"/>
        <v>35</v>
      </c>
      <c r="L18" s="439" t="s">
        <v>12</v>
      </c>
      <c r="M18" s="433">
        <v>100</v>
      </c>
      <c r="N18" s="440" t="s">
        <v>9</v>
      </c>
      <c r="O18" s="185"/>
      <c r="P18" s="432" t="s">
        <v>7</v>
      </c>
      <c r="Q18" s="435">
        <f t="shared" si="8"/>
        <v>2910</v>
      </c>
      <c r="R18" s="440" t="s">
        <v>9</v>
      </c>
      <c r="S18" s="186"/>
      <c r="T18" s="208"/>
      <c r="U18" s="226" t="str">
        <f t="shared" ref="U18" si="13">P18</f>
        <v>下限運賃</v>
      </c>
      <c r="V18" s="235">
        <f t="shared" si="4"/>
        <v>1450</v>
      </c>
      <c r="W18" s="218" t="s">
        <v>9</v>
      </c>
      <c r="X18" s="226" t="str">
        <f t="shared" ref="X18" si="14">P18</f>
        <v>下限運賃</v>
      </c>
      <c r="Y18" s="235">
        <f t="shared" si="6"/>
        <v>970</v>
      </c>
      <c r="Z18" s="218" t="s">
        <v>9</v>
      </c>
      <c r="AA18" s="186"/>
      <c r="AB18" s="191"/>
      <c r="AC18" s="191" t="str">
        <f>HLOOKUP($AC$5,名前2!$C:$J,14,0)</f>
        <v>ただし、「タクシー事業における軽自動車の活用について」</v>
      </c>
    </row>
    <row r="19" spans="1:29" ht="16.5" customHeight="1" x14ac:dyDescent="0.2">
      <c r="A19" s="321"/>
      <c r="B19" s="220"/>
      <c r="C19" s="208"/>
      <c r="D19" s="208"/>
      <c r="E19" s="224"/>
      <c r="F19" s="208"/>
      <c r="G19" s="208"/>
      <c r="H19" s="208"/>
      <c r="I19" s="208"/>
      <c r="J19" s="221"/>
      <c r="K19" s="222"/>
      <c r="L19" s="223"/>
      <c r="M19" s="208"/>
      <c r="N19" s="208"/>
      <c r="O19"/>
      <c r="P19" s="220"/>
      <c r="Q19" s="224"/>
      <c r="R19" s="208"/>
      <c r="S19" s="186"/>
      <c r="T19" s="208"/>
      <c r="U19" s="220"/>
      <c r="V19" s="269"/>
      <c r="W19" s="208"/>
      <c r="X19" s="220"/>
      <c r="Y19" s="269"/>
      <c r="Z19" s="208"/>
      <c r="AA19" s="186"/>
      <c r="AB19" s="191"/>
      <c r="AC19" s="191" t="str">
        <f>HLOOKUP($AC$5,名前2!$C:$J,15,0)</f>
        <v>（令和８年６月１日付け国自旅第３７号）別紙１．に基</v>
      </c>
    </row>
    <row r="20" spans="1:29" ht="16.5" customHeight="1" thickBot="1" x14ac:dyDescent="0.25">
      <c r="A20" s="243" t="s">
        <v>19</v>
      </c>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91"/>
      <c r="AC20" s="191" t="str">
        <f>HLOOKUP($AC$5,名前2!$C:$J,16,0)</f>
        <v>づき近畿運輸局長が公示する地域においては、軽自動車と</v>
      </c>
    </row>
    <row r="21" spans="1:29" ht="16.5" customHeight="1" x14ac:dyDescent="0.2">
      <c r="A21" s="243"/>
      <c r="B21" s="586"/>
      <c r="C21" s="588" t="s">
        <v>3</v>
      </c>
      <c r="D21" s="594"/>
      <c r="E21" s="594"/>
      <c r="F21" s="594"/>
      <c r="G21" s="594"/>
      <c r="H21" s="595"/>
      <c r="I21" s="596" t="s">
        <v>4</v>
      </c>
      <c r="J21" s="597"/>
      <c r="K21" s="597"/>
      <c r="L21" s="597"/>
      <c r="M21" s="597"/>
      <c r="N21" s="598"/>
      <c r="O21" s="186"/>
      <c r="P21" s="586"/>
      <c r="Q21" s="588" t="s">
        <v>5</v>
      </c>
      <c r="R21" s="589"/>
      <c r="S21" s="186"/>
      <c r="T21" s="208"/>
      <c r="U21" s="550"/>
      <c r="V21" s="552" t="s">
        <v>5</v>
      </c>
      <c r="W21" s="560"/>
      <c r="X21" s="550"/>
      <c r="Y21" s="552" t="s">
        <v>5</v>
      </c>
      <c r="Z21" s="560"/>
      <c r="AA21" s="186"/>
      <c r="AB21" s="191"/>
      <c r="AC21" s="191" t="str">
        <f>HLOOKUP($AC$5,名前2!$C:$J,17,0)</f>
        <v>する。</v>
      </c>
    </row>
    <row r="22" spans="1:29" ht="30" customHeight="1" thickBot="1" x14ac:dyDescent="0.25">
      <c r="A22" s="447" t="str">
        <f>IF(COUNTIF(A23:A32,"○")=0,"無","")</f>
        <v>無</v>
      </c>
      <c r="B22" s="587"/>
      <c r="C22" s="590" t="s">
        <v>27</v>
      </c>
      <c r="D22" s="602"/>
      <c r="E22" s="603" t="s">
        <v>6</v>
      </c>
      <c r="F22" s="604"/>
      <c r="G22" s="604"/>
      <c r="H22" s="605"/>
      <c r="I22" s="599"/>
      <c r="J22" s="600"/>
      <c r="K22" s="600"/>
      <c r="L22" s="600"/>
      <c r="M22" s="600"/>
      <c r="N22" s="601"/>
      <c r="O22" s="193" t="str">
        <f>IF(COUNTIF(O23:O32,"○")=0,"無","")</f>
        <v>無</v>
      </c>
      <c r="P22" s="587"/>
      <c r="Q22" s="590" t="s">
        <v>487</v>
      </c>
      <c r="R22" s="591"/>
      <c r="S22" s="186"/>
      <c r="T22" s="186"/>
      <c r="U22" s="551"/>
      <c r="V22" s="547">
        <v>15</v>
      </c>
      <c r="W22" s="548"/>
      <c r="X22" s="551"/>
      <c r="Y22" s="547">
        <v>10</v>
      </c>
      <c r="Z22" s="548"/>
      <c r="AA22" s="186"/>
      <c r="AB22" s="191" t="str">
        <f>HLOOKUP($AB$5,名前2!$C:$J,18,0)</f>
        <v>備　　　考　</v>
      </c>
      <c r="AC22" s="191" t="str">
        <f>HLOOKUP($AC$5,名前2!$C:$J,18,0)</f>
        <v>１　自動車検査証に記載されている諸元を基準とする。</v>
      </c>
    </row>
    <row r="23" spans="1:29" ht="16.5" customHeight="1" thickTop="1" x14ac:dyDescent="0.2">
      <c r="A23" s="448"/>
      <c r="B23" s="414" t="s">
        <v>8</v>
      </c>
      <c r="C23" s="415">
        <v>690</v>
      </c>
      <c r="D23" s="416" t="s">
        <v>9</v>
      </c>
      <c r="E23" s="417">
        <v>200</v>
      </c>
      <c r="F23" s="418" t="s">
        <v>10</v>
      </c>
      <c r="G23" s="415">
        <v>100</v>
      </c>
      <c r="H23" s="416" t="s">
        <v>9</v>
      </c>
      <c r="I23" s="419">
        <f t="shared" ref="I23:I27" si="15">TRUNC(CEILING(ROUNDUP(E23*0.36,0),5)/60,0)</f>
        <v>1</v>
      </c>
      <c r="J23" s="420" t="s">
        <v>11</v>
      </c>
      <c r="K23" s="421">
        <f t="shared" ref="K23:K27" si="16">TRUNC(CEILING(ROUNDUP(E23*0.36,0),5)-I23*60,0)</f>
        <v>15</v>
      </c>
      <c r="L23" s="422" t="s">
        <v>12</v>
      </c>
      <c r="M23" s="415">
        <v>100</v>
      </c>
      <c r="N23" s="423" t="s">
        <v>9</v>
      </c>
      <c r="O23" s="185"/>
      <c r="P23" s="414" t="s">
        <v>8</v>
      </c>
      <c r="Q23" s="441">
        <v>3450</v>
      </c>
      <c r="R23" s="423" t="s">
        <v>9</v>
      </c>
      <c r="S23" s="186"/>
      <c r="T23" s="186"/>
      <c r="U23" s="195" t="str">
        <f>P23</f>
        <v>上限運賃</v>
      </c>
      <c r="V23" s="207">
        <f t="shared" ref="V23:V32" si="17">ROUNDDOWN($Q23*$V$8/$Q$8,-1)</f>
        <v>1720</v>
      </c>
      <c r="W23" s="209" t="s">
        <v>9</v>
      </c>
      <c r="X23" s="195" t="str">
        <f>P23</f>
        <v>上限運賃</v>
      </c>
      <c r="Y23" s="207">
        <f t="shared" ref="Y23:Y32" si="18">ROUNDDOWN($Q23*$Y$8/$Q$8,-1)</f>
        <v>1150</v>
      </c>
      <c r="Z23" s="209" t="s">
        <v>9</v>
      </c>
      <c r="AA23" s="186"/>
      <c r="AB23" s="191"/>
      <c r="AC23" s="191" t="str">
        <f>HLOOKUP($AC$5,名前2!$C:$J,19,0)</f>
        <v>２　車体の形状が患者輸送車、車いす移動車又は身体障害</v>
      </c>
    </row>
    <row r="24" spans="1:29" ht="16.5" customHeight="1" x14ac:dyDescent="0.2">
      <c r="A24" s="448"/>
      <c r="B24" s="424" t="s">
        <v>13</v>
      </c>
      <c r="C24" s="425">
        <f t="shared" ref="C24:C32" si="19">C23-10</f>
        <v>680</v>
      </c>
      <c r="D24" s="426" t="s">
        <v>9</v>
      </c>
      <c r="E24" s="427">
        <f>ROUND(E$23/(C24/C$23),0)</f>
        <v>203</v>
      </c>
      <c r="F24" s="425" t="s">
        <v>10</v>
      </c>
      <c r="G24" s="425">
        <v>100</v>
      </c>
      <c r="H24" s="426" t="s">
        <v>9</v>
      </c>
      <c r="I24" s="419">
        <f t="shared" si="15"/>
        <v>1</v>
      </c>
      <c r="J24" s="420" t="s">
        <v>11</v>
      </c>
      <c r="K24" s="421">
        <f t="shared" si="16"/>
        <v>15</v>
      </c>
      <c r="L24" s="422" t="s">
        <v>12</v>
      </c>
      <c r="M24" s="425">
        <v>100</v>
      </c>
      <c r="N24" s="428" t="s">
        <v>9</v>
      </c>
      <c r="O24" s="185"/>
      <c r="P24" s="424" t="s">
        <v>13</v>
      </c>
      <c r="Q24" s="427">
        <f>ROUNDUP((C24/C$23)*Q$23,-1)</f>
        <v>3400</v>
      </c>
      <c r="R24" s="428" t="s">
        <v>9</v>
      </c>
      <c r="S24" s="186"/>
      <c r="T24" s="186"/>
      <c r="U24" s="228" t="str">
        <f t="shared" ref="U24:U29" si="20">P24</f>
        <v>Ｂ運賃</v>
      </c>
      <c r="V24" s="234">
        <f t="shared" si="17"/>
        <v>1700</v>
      </c>
      <c r="W24" s="232" t="s">
        <v>9</v>
      </c>
      <c r="X24" s="228" t="str">
        <f t="shared" ref="X24:X29" si="21">P24</f>
        <v>Ｂ運賃</v>
      </c>
      <c r="Y24" s="234">
        <f t="shared" si="18"/>
        <v>1130</v>
      </c>
      <c r="Z24" s="232" t="s">
        <v>9</v>
      </c>
      <c r="AA24" s="186"/>
      <c r="AB24" s="191" t="str">
        <f>IF(HLOOKUP($AB$5,名前2!$C:$J,20,0)=0,"",HLOOKUP($AB$5,名前2!C:J,20,0))</f>
        <v/>
      </c>
      <c r="AC24" s="191" t="str">
        <f>HLOOKUP($AC$5,名前2!$C:$J,20,0)</f>
        <v>者輸送車である特種自動車については、上記の車種区分に</v>
      </c>
    </row>
    <row r="25" spans="1:29" ht="16.5" customHeight="1" x14ac:dyDescent="0.2">
      <c r="A25" s="448"/>
      <c r="B25" s="424" t="s">
        <v>31</v>
      </c>
      <c r="C25" s="425">
        <f t="shared" si="19"/>
        <v>670</v>
      </c>
      <c r="D25" s="426" t="s">
        <v>9</v>
      </c>
      <c r="E25" s="427">
        <f t="shared" ref="E25:E26" si="22">ROUND(E$23/(C25/C$23),0)</f>
        <v>206</v>
      </c>
      <c r="F25" s="425" t="s">
        <v>10</v>
      </c>
      <c r="G25" s="425">
        <v>100</v>
      </c>
      <c r="H25" s="426" t="s">
        <v>9</v>
      </c>
      <c r="I25" s="419">
        <f t="shared" si="15"/>
        <v>1</v>
      </c>
      <c r="J25" s="420" t="s">
        <v>11</v>
      </c>
      <c r="K25" s="421">
        <f t="shared" si="16"/>
        <v>15</v>
      </c>
      <c r="L25" s="422" t="s">
        <v>12</v>
      </c>
      <c r="M25" s="425">
        <v>100</v>
      </c>
      <c r="N25" s="428" t="s">
        <v>9</v>
      </c>
      <c r="O25" s="185"/>
      <c r="P25" s="424" t="s">
        <v>31</v>
      </c>
      <c r="Q25" s="427">
        <f t="shared" ref="Q25:Q26" si="23">ROUNDUP((C25/C$23)*Q$23,-1)</f>
        <v>3350</v>
      </c>
      <c r="R25" s="428" t="s">
        <v>9</v>
      </c>
      <c r="S25" s="186"/>
      <c r="T25" s="186"/>
      <c r="U25" s="228" t="str">
        <f t="shared" si="20"/>
        <v>Ｃ運賃</v>
      </c>
      <c r="V25" s="234">
        <f t="shared" si="17"/>
        <v>1670</v>
      </c>
      <c r="W25" s="232" t="s">
        <v>9</v>
      </c>
      <c r="X25" s="228" t="str">
        <f t="shared" si="21"/>
        <v>Ｃ運賃</v>
      </c>
      <c r="Y25" s="234">
        <f t="shared" si="18"/>
        <v>1110</v>
      </c>
      <c r="Z25" s="232" t="s">
        <v>9</v>
      </c>
      <c r="AA25" s="186"/>
      <c r="AB25" s="191"/>
      <c r="AC25" s="191" t="str">
        <f>HLOOKUP($AC$5,名前2!$C:$J,21,0)</f>
        <v>よらず、以下の区分を適用する。</v>
      </c>
    </row>
    <row r="26" spans="1:29" ht="16.5" customHeight="1" x14ac:dyDescent="0.2">
      <c r="A26" s="448"/>
      <c r="B26" s="424" t="s">
        <v>32</v>
      </c>
      <c r="C26" s="429">
        <f t="shared" si="19"/>
        <v>660</v>
      </c>
      <c r="D26" s="430" t="s">
        <v>9</v>
      </c>
      <c r="E26" s="427">
        <f t="shared" si="22"/>
        <v>209</v>
      </c>
      <c r="F26" s="429" t="s">
        <v>10</v>
      </c>
      <c r="G26" s="429">
        <v>100</v>
      </c>
      <c r="H26" s="430" t="s">
        <v>9</v>
      </c>
      <c r="I26" s="419">
        <f t="shared" si="15"/>
        <v>1</v>
      </c>
      <c r="J26" s="420" t="s">
        <v>11</v>
      </c>
      <c r="K26" s="421">
        <f t="shared" si="16"/>
        <v>20</v>
      </c>
      <c r="L26" s="422" t="s">
        <v>12</v>
      </c>
      <c r="M26" s="429">
        <v>100</v>
      </c>
      <c r="N26" s="431" t="s">
        <v>9</v>
      </c>
      <c r="O26" s="185"/>
      <c r="P26" s="424" t="s">
        <v>32</v>
      </c>
      <c r="Q26" s="427">
        <f t="shared" si="23"/>
        <v>3300</v>
      </c>
      <c r="R26" s="428" t="s">
        <v>9</v>
      </c>
      <c r="S26" s="186"/>
      <c r="T26" s="186"/>
      <c r="U26" s="228" t="str">
        <f t="shared" si="20"/>
        <v>Ｄ運賃</v>
      </c>
      <c r="V26" s="234">
        <f t="shared" si="17"/>
        <v>1650</v>
      </c>
      <c r="W26" s="232" t="s">
        <v>9</v>
      </c>
      <c r="X26" s="228" t="str">
        <f t="shared" si="21"/>
        <v>Ｄ運賃</v>
      </c>
      <c r="Y26" s="234">
        <f t="shared" si="18"/>
        <v>1100</v>
      </c>
      <c r="Z26" s="232" t="s">
        <v>9</v>
      </c>
      <c r="AA26" s="186"/>
      <c r="AB26" s="191"/>
      <c r="AC26" s="191" t="str">
        <f>HLOOKUP($AC$5,名前2!$C:$J,22,0)</f>
        <v>一　次号に掲げる自動車以外の自動車</v>
      </c>
    </row>
    <row r="27" spans="1:29" ht="16.5" customHeight="1" x14ac:dyDescent="0.2">
      <c r="A27" s="448"/>
      <c r="B27" s="424" t="s">
        <v>38</v>
      </c>
      <c r="C27" s="429">
        <f t="shared" si="19"/>
        <v>650</v>
      </c>
      <c r="D27" s="430" t="s">
        <v>9</v>
      </c>
      <c r="E27" s="427">
        <f>E37</f>
        <v>250</v>
      </c>
      <c r="F27" s="429" t="s">
        <v>10</v>
      </c>
      <c r="G27" s="429">
        <v>100</v>
      </c>
      <c r="H27" s="430" t="s">
        <v>9</v>
      </c>
      <c r="I27" s="419">
        <f t="shared" si="15"/>
        <v>1</v>
      </c>
      <c r="J27" s="420" t="s">
        <v>11</v>
      </c>
      <c r="K27" s="421">
        <f t="shared" si="16"/>
        <v>30</v>
      </c>
      <c r="L27" s="422" t="s">
        <v>12</v>
      </c>
      <c r="M27" s="429">
        <v>100</v>
      </c>
      <c r="N27" s="431" t="s">
        <v>9</v>
      </c>
      <c r="O27" s="185"/>
      <c r="P27" s="424" t="s">
        <v>38</v>
      </c>
      <c r="Q27" s="427">
        <f>Q37</f>
        <v>3000</v>
      </c>
      <c r="R27" s="428" t="s">
        <v>9</v>
      </c>
      <c r="S27" s="186"/>
      <c r="T27" s="208"/>
      <c r="U27" s="228" t="str">
        <f t="shared" si="20"/>
        <v>Ｅ運賃</v>
      </c>
      <c r="V27" s="234">
        <f t="shared" si="17"/>
        <v>1500</v>
      </c>
      <c r="W27" s="232" t="s">
        <v>9</v>
      </c>
      <c r="X27" s="228" t="str">
        <f t="shared" si="21"/>
        <v>Ｅ運賃</v>
      </c>
      <c r="Y27" s="234">
        <f t="shared" si="18"/>
        <v>1000</v>
      </c>
      <c r="Z27" s="232" t="s">
        <v>9</v>
      </c>
      <c r="AA27" s="186"/>
      <c r="AB27" s="191"/>
      <c r="AC27" s="191" t="str">
        <f>HLOOKUP($AC$5,名前2!$C:$J,23,0)</f>
        <v>ア　乗車定員が７名以上のもの　大型車</v>
      </c>
    </row>
    <row r="28" spans="1:29" ht="16.5" customHeight="1" x14ac:dyDescent="0.2">
      <c r="A28" s="448"/>
      <c r="B28" s="444" t="s">
        <v>35</v>
      </c>
      <c r="C28" s="429">
        <f t="shared" si="19"/>
        <v>640</v>
      </c>
      <c r="D28" s="430" t="s">
        <v>9</v>
      </c>
      <c r="E28" s="427">
        <f t="shared" ref="E28:E32" si="24">E38</f>
        <v>254</v>
      </c>
      <c r="F28" s="429" t="s">
        <v>10</v>
      </c>
      <c r="G28" s="429">
        <v>100</v>
      </c>
      <c r="H28" s="430" t="s">
        <v>9</v>
      </c>
      <c r="I28" s="419">
        <f>TRUNC(CEILING(ROUNDUP(E28*0.36,0),5)/60,0)</f>
        <v>1</v>
      </c>
      <c r="J28" s="420" t="s">
        <v>11</v>
      </c>
      <c r="K28" s="421">
        <f>TRUNC(CEILING(ROUNDUP(E28*0.36,0),5)-I28*60,0)</f>
        <v>35</v>
      </c>
      <c r="L28" s="422" t="s">
        <v>12</v>
      </c>
      <c r="M28" s="429">
        <v>100</v>
      </c>
      <c r="N28" s="431" t="s">
        <v>9</v>
      </c>
      <c r="O28" s="185"/>
      <c r="P28" s="444" t="s">
        <v>35</v>
      </c>
      <c r="Q28" s="427">
        <f t="shared" ref="Q28:Q32" si="25">Q38</f>
        <v>2960</v>
      </c>
      <c r="R28" s="428" t="s">
        <v>9</v>
      </c>
      <c r="S28" s="186"/>
      <c r="T28" s="208"/>
      <c r="U28" s="350" t="s">
        <v>37</v>
      </c>
      <c r="V28" s="234">
        <f t="shared" si="17"/>
        <v>1480</v>
      </c>
      <c r="W28" s="232" t="s">
        <v>9</v>
      </c>
      <c r="X28" s="350" t="s">
        <v>37</v>
      </c>
      <c r="Y28" s="234">
        <f t="shared" si="18"/>
        <v>980</v>
      </c>
      <c r="Z28" s="232" t="s">
        <v>9</v>
      </c>
      <c r="AA28" s="186"/>
      <c r="AB28" s="191"/>
      <c r="AC28" s="191"/>
    </row>
    <row r="29" spans="1:29" ht="16.5" customHeight="1" x14ac:dyDescent="0.2">
      <c r="A29" s="448"/>
      <c r="B29" s="424" t="s">
        <v>380</v>
      </c>
      <c r="C29" s="429">
        <f t="shared" si="19"/>
        <v>630</v>
      </c>
      <c r="D29" s="430" t="s">
        <v>9</v>
      </c>
      <c r="E29" s="427">
        <f t="shared" si="24"/>
        <v>258</v>
      </c>
      <c r="F29" s="429" t="s">
        <v>10</v>
      </c>
      <c r="G29" s="429">
        <v>100</v>
      </c>
      <c r="H29" s="430" t="s">
        <v>9</v>
      </c>
      <c r="I29" s="419">
        <f t="shared" ref="I29:I32" si="26">TRUNC(CEILING(ROUNDUP(E29*0.36,0),5)/60,0)</f>
        <v>1</v>
      </c>
      <c r="J29" s="420" t="s">
        <v>11</v>
      </c>
      <c r="K29" s="421">
        <f t="shared" ref="K29:K32" si="27">TRUNC(CEILING(ROUNDUP(E29*0.36,0),5)-I29*60,0)</f>
        <v>35</v>
      </c>
      <c r="L29" s="422" t="s">
        <v>12</v>
      </c>
      <c r="M29" s="429">
        <v>100</v>
      </c>
      <c r="N29" s="431" t="s">
        <v>9</v>
      </c>
      <c r="O29" s="185"/>
      <c r="P29" s="424" t="s">
        <v>380</v>
      </c>
      <c r="Q29" s="427">
        <f t="shared" si="25"/>
        <v>2910</v>
      </c>
      <c r="R29" s="428" t="s">
        <v>9</v>
      </c>
      <c r="S29" s="186"/>
      <c r="T29" s="208"/>
      <c r="U29" s="245" t="str">
        <f t="shared" si="20"/>
        <v>Ｇ運賃</v>
      </c>
      <c r="V29" s="372">
        <f t="shared" si="17"/>
        <v>1450</v>
      </c>
      <c r="W29" s="244" t="s">
        <v>9</v>
      </c>
      <c r="X29" s="245" t="str">
        <f t="shared" si="21"/>
        <v>Ｇ運賃</v>
      </c>
      <c r="Y29" s="372">
        <f t="shared" si="18"/>
        <v>970</v>
      </c>
      <c r="Z29" s="244" t="s">
        <v>9</v>
      </c>
      <c r="AA29" s="186"/>
      <c r="AB29" s="191"/>
      <c r="AC29" s="191" t="str">
        <f>HLOOKUP($AC$5,名前2!$C:$J,24,0)</f>
        <v>イ　乗車定員が６名以下のもの　普通車</v>
      </c>
    </row>
    <row r="30" spans="1:29" ht="16.5" customHeight="1" x14ac:dyDescent="0.2">
      <c r="A30" s="448"/>
      <c r="B30" s="424" t="s">
        <v>485</v>
      </c>
      <c r="C30" s="429">
        <f t="shared" si="19"/>
        <v>620</v>
      </c>
      <c r="D30" s="430" t="s">
        <v>9</v>
      </c>
      <c r="E30" s="427">
        <f t="shared" si="24"/>
        <v>262</v>
      </c>
      <c r="F30" s="429" t="s">
        <v>10</v>
      </c>
      <c r="G30" s="429">
        <v>100</v>
      </c>
      <c r="H30" s="430" t="s">
        <v>9</v>
      </c>
      <c r="I30" s="419">
        <f t="shared" si="26"/>
        <v>1</v>
      </c>
      <c r="J30" s="420" t="s">
        <v>11</v>
      </c>
      <c r="K30" s="421">
        <f t="shared" si="27"/>
        <v>35</v>
      </c>
      <c r="L30" s="422" t="s">
        <v>12</v>
      </c>
      <c r="M30" s="429">
        <v>100</v>
      </c>
      <c r="N30" s="431" t="s">
        <v>9</v>
      </c>
      <c r="O30" s="185"/>
      <c r="P30" s="424" t="s">
        <v>485</v>
      </c>
      <c r="Q30" s="427">
        <f t="shared" si="25"/>
        <v>2870</v>
      </c>
      <c r="R30" s="428" t="s">
        <v>9</v>
      </c>
      <c r="S30" s="186"/>
      <c r="T30" s="208"/>
      <c r="U30" s="413" t="str">
        <f t="shared" ref="U30:U32" si="28">P30</f>
        <v>Ｈ運賃</v>
      </c>
      <c r="V30" s="234">
        <f t="shared" si="17"/>
        <v>1430</v>
      </c>
      <c r="W30" s="232" t="s">
        <v>9</v>
      </c>
      <c r="X30" s="413" t="str">
        <f t="shared" ref="X30:X32" si="29">P30</f>
        <v>Ｈ運賃</v>
      </c>
      <c r="Y30" s="234">
        <f t="shared" si="18"/>
        <v>950</v>
      </c>
      <c r="Z30" s="232" t="s">
        <v>9</v>
      </c>
      <c r="AA30" s="186"/>
      <c r="AB30" s="191"/>
      <c r="AC30" s="191" t="str">
        <f>HLOOKUP($AC$5,名前2!$C:$J,25,0)</f>
        <v>二　専ら旅客を寝台に乗せて運行することを目的とする</v>
      </c>
    </row>
    <row r="31" spans="1:29" ht="16.5" customHeight="1" x14ac:dyDescent="0.2">
      <c r="A31" s="448"/>
      <c r="B31" s="424" t="s">
        <v>486</v>
      </c>
      <c r="C31" s="429">
        <f t="shared" si="19"/>
        <v>610</v>
      </c>
      <c r="D31" s="430" t="s">
        <v>9</v>
      </c>
      <c r="E31" s="427">
        <f t="shared" si="24"/>
        <v>266</v>
      </c>
      <c r="F31" s="429" t="s">
        <v>10</v>
      </c>
      <c r="G31" s="429">
        <v>100</v>
      </c>
      <c r="H31" s="430" t="s">
        <v>9</v>
      </c>
      <c r="I31" s="419">
        <f t="shared" si="26"/>
        <v>1</v>
      </c>
      <c r="J31" s="420" t="s">
        <v>11</v>
      </c>
      <c r="K31" s="421">
        <f t="shared" si="27"/>
        <v>40</v>
      </c>
      <c r="L31" s="422" t="s">
        <v>12</v>
      </c>
      <c r="M31" s="429">
        <v>100</v>
      </c>
      <c r="N31" s="431" t="s">
        <v>9</v>
      </c>
      <c r="O31" s="185"/>
      <c r="P31" s="424" t="s">
        <v>486</v>
      </c>
      <c r="Q31" s="427">
        <f t="shared" si="25"/>
        <v>2820</v>
      </c>
      <c r="R31" s="428" t="s">
        <v>9</v>
      </c>
      <c r="S31" s="186"/>
      <c r="T31" s="208"/>
      <c r="U31" s="413" t="str">
        <f t="shared" si="28"/>
        <v>Ｉ運賃</v>
      </c>
      <c r="V31" s="234">
        <f t="shared" si="17"/>
        <v>1410</v>
      </c>
      <c r="W31" s="232" t="s">
        <v>9</v>
      </c>
      <c r="X31" s="413" t="str">
        <f t="shared" si="29"/>
        <v>Ｉ運賃</v>
      </c>
      <c r="Y31" s="234">
        <f t="shared" si="18"/>
        <v>940</v>
      </c>
      <c r="Z31" s="232" t="s">
        <v>9</v>
      </c>
      <c r="AA31" s="186"/>
      <c r="AB31" s="191"/>
      <c r="AC31" s="191" t="str">
        <f>HLOOKUP($AC$5,名前2!$C:$J,26,0)</f>
        <v>自動車</v>
      </c>
    </row>
    <row r="32" spans="1:29" ht="16.5" customHeight="1" thickBot="1" x14ac:dyDescent="0.25">
      <c r="A32" s="448"/>
      <c r="B32" s="432" t="s">
        <v>7</v>
      </c>
      <c r="C32" s="433">
        <f t="shared" si="19"/>
        <v>600</v>
      </c>
      <c r="D32" s="434" t="s">
        <v>9</v>
      </c>
      <c r="E32" s="435">
        <f t="shared" si="24"/>
        <v>271</v>
      </c>
      <c r="F32" s="433" t="s">
        <v>10</v>
      </c>
      <c r="G32" s="433">
        <v>100</v>
      </c>
      <c r="H32" s="434" t="s">
        <v>9</v>
      </c>
      <c r="I32" s="436">
        <f t="shared" si="26"/>
        <v>1</v>
      </c>
      <c r="J32" s="437" t="s">
        <v>11</v>
      </c>
      <c r="K32" s="438">
        <f t="shared" si="27"/>
        <v>40</v>
      </c>
      <c r="L32" s="439" t="s">
        <v>12</v>
      </c>
      <c r="M32" s="433">
        <v>100</v>
      </c>
      <c r="N32" s="440" t="s">
        <v>9</v>
      </c>
      <c r="O32" s="185"/>
      <c r="P32" s="432" t="s">
        <v>7</v>
      </c>
      <c r="Q32" s="435">
        <f t="shared" si="25"/>
        <v>2770</v>
      </c>
      <c r="R32" s="440" t="s">
        <v>9</v>
      </c>
      <c r="S32" s="186"/>
      <c r="T32" s="208"/>
      <c r="U32" s="210" t="str">
        <f t="shared" si="28"/>
        <v>下限運賃</v>
      </c>
      <c r="V32" s="266">
        <f t="shared" si="17"/>
        <v>1380</v>
      </c>
      <c r="W32" s="265" t="s">
        <v>9</v>
      </c>
      <c r="X32" s="210" t="str">
        <f t="shared" si="29"/>
        <v>下限運賃</v>
      </c>
      <c r="Y32" s="266">
        <f t="shared" si="18"/>
        <v>920</v>
      </c>
      <c r="Z32" s="265" t="s">
        <v>9</v>
      </c>
      <c r="AA32" s="186"/>
      <c r="AB32" s="191"/>
      <c r="AC32" s="191" t="str">
        <f>HLOOKUP($AC$5,名前2!$C:$J,27,0)</f>
        <v>ア　普通自動車　普通自動車</v>
      </c>
    </row>
    <row r="33" spans="1:29" ht="16.5" customHeight="1" x14ac:dyDescent="0.2">
      <c r="A33" s="321"/>
      <c r="B33" s="220"/>
      <c r="C33" s="208"/>
      <c r="D33" s="208"/>
      <c r="E33" s="224"/>
      <c r="F33" s="208"/>
      <c r="G33" s="208"/>
      <c r="H33" s="208"/>
      <c r="I33" s="208"/>
      <c r="J33" s="221"/>
      <c r="K33" s="222"/>
      <c r="L33" s="223"/>
      <c r="M33" s="208"/>
      <c r="N33" s="208"/>
      <c r="O33"/>
      <c r="P33" s="220"/>
      <c r="Q33" s="224"/>
      <c r="R33" s="208"/>
      <c r="S33" s="186"/>
      <c r="T33" s="208"/>
      <c r="U33" s="220"/>
      <c r="V33" s="269"/>
      <c r="W33" s="208"/>
      <c r="X33" s="220"/>
      <c r="Y33" s="269"/>
      <c r="Z33" s="208"/>
      <c r="AA33" s="186"/>
      <c r="AB33" s="191"/>
      <c r="AC33" s="191" t="str">
        <f>HLOOKUP($AC$5,名前2!$C:$J,28,0)</f>
        <v>イ　小型自動車　小型自動車</v>
      </c>
    </row>
    <row r="34" spans="1:29" ht="16.5" customHeight="1" thickBot="1" x14ac:dyDescent="0.25">
      <c r="A34" s="243" t="s">
        <v>23</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91"/>
      <c r="AC34" s="191" t="str">
        <f>HLOOKUP($AC$5,名前2!$C:$J,29,0)</f>
        <v>３　上記の車種区分において、ハイブリッド自動車とは、</v>
      </c>
    </row>
    <row r="35" spans="1:29" ht="16.5" customHeight="1" x14ac:dyDescent="0.2">
      <c r="A35" s="243"/>
      <c r="B35" s="586"/>
      <c r="C35" s="588" t="s">
        <v>3</v>
      </c>
      <c r="D35" s="594"/>
      <c r="E35" s="594"/>
      <c r="F35" s="594"/>
      <c r="G35" s="594"/>
      <c r="H35" s="595"/>
      <c r="I35" s="596" t="s">
        <v>4</v>
      </c>
      <c r="J35" s="597"/>
      <c r="K35" s="597"/>
      <c r="L35" s="597"/>
      <c r="M35" s="597"/>
      <c r="N35" s="598"/>
      <c r="O35" s="186"/>
      <c r="P35" s="586"/>
      <c r="Q35" s="588" t="s">
        <v>5</v>
      </c>
      <c r="R35" s="589"/>
      <c r="S35" s="186"/>
      <c r="T35" s="186"/>
      <c r="U35" s="550"/>
      <c r="V35" s="552" t="s">
        <v>5</v>
      </c>
      <c r="W35" s="560"/>
      <c r="X35" s="550"/>
      <c r="Y35" s="552" t="s">
        <v>5</v>
      </c>
      <c r="Z35" s="560"/>
      <c r="AA35" s="186"/>
      <c r="AB35" s="191"/>
      <c r="AC35" s="191" t="str">
        <f>HLOOKUP($AC$5,名前2!$C:$J,30,0)</f>
        <v>内燃機関を搭載し、併せて電気又は蓄圧器に蓄えられた</v>
      </c>
    </row>
    <row r="36" spans="1:29" ht="30" customHeight="1" thickBot="1" x14ac:dyDescent="0.25">
      <c r="A36" s="447" t="str">
        <f>IF(COUNTIF(A37:A46,"○")=0,"無","")</f>
        <v>無</v>
      </c>
      <c r="B36" s="587"/>
      <c r="C36" s="590" t="s">
        <v>27</v>
      </c>
      <c r="D36" s="602"/>
      <c r="E36" s="603" t="s">
        <v>6</v>
      </c>
      <c r="F36" s="604"/>
      <c r="G36" s="604"/>
      <c r="H36" s="605"/>
      <c r="I36" s="599"/>
      <c r="J36" s="600"/>
      <c r="K36" s="600"/>
      <c r="L36" s="600"/>
      <c r="M36" s="600"/>
      <c r="N36" s="601"/>
      <c r="O36" s="193" t="str">
        <f>IF(COUNTIF(O37:O46,"○")=0,"無","")</f>
        <v>無</v>
      </c>
      <c r="P36" s="587"/>
      <c r="Q36" s="590" t="s">
        <v>487</v>
      </c>
      <c r="R36" s="591"/>
      <c r="S36" s="186"/>
      <c r="T36" s="186"/>
      <c r="U36" s="551"/>
      <c r="V36" s="547">
        <v>15</v>
      </c>
      <c r="W36" s="548"/>
      <c r="X36" s="551"/>
      <c r="Y36" s="547">
        <v>10</v>
      </c>
      <c r="Z36" s="548"/>
      <c r="AA36" s="186"/>
      <c r="AB36" s="191"/>
      <c r="AC36" s="191" t="str">
        <f>IF(HLOOKUP($AC$5,名前2!$C:$J,31,0)=0,"",HLOOKUP($AC$5,名前2!$C:$J,31,0))</f>
        <v>圧力を動力源として用いる自動車をいう。</v>
      </c>
    </row>
    <row r="37" spans="1:29" ht="16.5" customHeight="1" thickTop="1" x14ac:dyDescent="0.2">
      <c r="A37" s="448"/>
      <c r="B37" s="414" t="s">
        <v>8</v>
      </c>
      <c r="C37" s="415">
        <v>650</v>
      </c>
      <c r="D37" s="416" t="s">
        <v>9</v>
      </c>
      <c r="E37" s="417">
        <v>250</v>
      </c>
      <c r="F37" s="418" t="s">
        <v>10</v>
      </c>
      <c r="G37" s="415">
        <v>100</v>
      </c>
      <c r="H37" s="416" t="s">
        <v>9</v>
      </c>
      <c r="I37" s="419">
        <f t="shared" ref="I37:I41" si="30">TRUNC(CEILING(ROUNDUP(E37*0.36,0),5)/60,0)</f>
        <v>1</v>
      </c>
      <c r="J37" s="420" t="s">
        <v>11</v>
      </c>
      <c r="K37" s="421">
        <f t="shared" ref="K37" si="31">TRUNC(CEILING(ROUNDUP(E37*0.36,0),5)-I37*60,0)</f>
        <v>30</v>
      </c>
      <c r="L37" s="422" t="s">
        <v>12</v>
      </c>
      <c r="M37" s="415">
        <v>100</v>
      </c>
      <c r="N37" s="423" t="s">
        <v>9</v>
      </c>
      <c r="O37" s="185"/>
      <c r="P37" s="414" t="s">
        <v>8</v>
      </c>
      <c r="Q37" s="441">
        <v>3000</v>
      </c>
      <c r="R37" s="423" t="s">
        <v>9</v>
      </c>
      <c r="S37" s="186"/>
      <c r="T37" s="186"/>
      <c r="U37" s="195" t="str">
        <f>P37</f>
        <v>上限運賃</v>
      </c>
      <c r="V37" s="207">
        <f t="shared" ref="V37:V46" si="32">ROUNDDOWN($Q37*$V$8/$Q$8,-1)</f>
        <v>1500</v>
      </c>
      <c r="W37" s="209" t="s">
        <v>9</v>
      </c>
      <c r="X37" s="195" t="str">
        <f>P37</f>
        <v>上限運賃</v>
      </c>
      <c r="Y37" s="207">
        <f t="shared" ref="Y37:Y46" si="33">ROUNDDOWN($Q37*$Y$8/$Q$8,-1)</f>
        <v>1000</v>
      </c>
      <c r="Z37" s="209" t="s">
        <v>9</v>
      </c>
      <c r="AA37" s="186"/>
      <c r="AB37" s="191"/>
      <c r="AC37" s="191" t="str">
        <f>IF(HLOOKUP($AC$5,名前2!$C:$J,32,0)=0,"",HLOOKUP($AC$5,名前2!$C:$J,32,0))</f>
        <v/>
      </c>
    </row>
    <row r="38" spans="1:29" ht="16.5" customHeight="1" x14ac:dyDescent="0.2">
      <c r="A38" s="448"/>
      <c r="B38" s="424" t="s">
        <v>13</v>
      </c>
      <c r="C38" s="429">
        <f t="shared" ref="C38:C46" si="34">C37-10</f>
        <v>640</v>
      </c>
      <c r="D38" s="430" t="s">
        <v>9</v>
      </c>
      <c r="E38" s="427">
        <f>ROUND(E$37/(C38/C$37),0)</f>
        <v>254</v>
      </c>
      <c r="F38" s="429" t="s">
        <v>10</v>
      </c>
      <c r="G38" s="429">
        <v>100</v>
      </c>
      <c r="H38" s="430" t="s">
        <v>9</v>
      </c>
      <c r="I38" s="419">
        <f>TRUNC(CEILING(ROUNDUP(E38*0.36,0),5)/60,0)</f>
        <v>1</v>
      </c>
      <c r="J38" s="420" t="s">
        <v>11</v>
      </c>
      <c r="K38" s="421">
        <f>TRUNC(CEILING(ROUNDUP(E38*0.36,0),5)-I38*60,0)</f>
        <v>35</v>
      </c>
      <c r="L38" s="422" t="s">
        <v>12</v>
      </c>
      <c r="M38" s="429">
        <v>100</v>
      </c>
      <c r="N38" s="431" t="s">
        <v>9</v>
      </c>
      <c r="O38" s="185"/>
      <c r="P38" s="424" t="s">
        <v>13</v>
      </c>
      <c r="Q38" s="427">
        <f>ROUNDUP((C38/C$37)*Q$37,-1)</f>
        <v>2960</v>
      </c>
      <c r="R38" s="428" t="s">
        <v>9</v>
      </c>
      <c r="S38" s="186"/>
      <c r="T38" s="186"/>
      <c r="U38" s="413" t="str">
        <f t="shared" ref="U38:U46" si="35">P38</f>
        <v>Ｂ運賃</v>
      </c>
      <c r="V38" s="234">
        <f>ROUNDDOWN($Q38*$V$8/$Q$8,-1)</f>
        <v>1480</v>
      </c>
      <c r="W38" s="232" t="s">
        <v>9</v>
      </c>
      <c r="X38" s="413" t="str">
        <f t="shared" ref="X38:X46" si="36">P38</f>
        <v>Ｂ運賃</v>
      </c>
      <c r="Y38" s="443">
        <f t="shared" si="33"/>
        <v>980</v>
      </c>
      <c r="Z38" s="232" t="s">
        <v>9</v>
      </c>
      <c r="AA38" s="186"/>
      <c r="AB38" s="186"/>
      <c r="AC38" s="186"/>
    </row>
    <row r="39" spans="1:29" ht="16.5" customHeight="1" x14ac:dyDescent="0.2">
      <c r="A39" s="448"/>
      <c r="B39" s="424" t="s">
        <v>31</v>
      </c>
      <c r="C39" s="429">
        <f t="shared" si="34"/>
        <v>630</v>
      </c>
      <c r="D39" s="430" t="s">
        <v>9</v>
      </c>
      <c r="E39" s="427">
        <f t="shared" ref="E39:E46" si="37">ROUND(E$37/(C39/C$37),0)</f>
        <v>258</v>
      </c>
      <c r="F39" s="429" t="s">
        <v>10</v>
      </c>
      <c r="G39" s="425">
        <v>100</v>
      </c>
      <c r="H39" s="430" t="s">
        <v>9</v>
      </c>
      <c r="I39" s="419">
        <f t="shared" si="30"/>
        <v>1</v>
      </c>
      <c r="J39" s="420" t="s">
        <v>11</v>
      </c>
      <c r="K39" s="421">
        <f>TRUNC(CEILING(ROUNDUP(E39*0.36,0),5)-I39*60,0)</f>
        <v>35</v>
      </c>
      <c r="L39" s="422" t="s">
        <v>12</v>
      </c>
      <c r="M39" s="425">
        <v>100</v>
      </c>
      <c r="N39" s="431" t="s">
        <v>9</v>
      </c>
      <c r="O39" s="185"/>
      <c r="P39" s="424" t="s">
        <v>31</v>
      </c>
      <c r="Q39" s="427">
        <f t="shared" ref="Q39:Q46" si="38">ROUNDUP((C39/C$37)*Q$37,-1)</f>
        <v>2910</v>
      </c>
      <c r="R39" s="428" t="s">
        <v>9</v>
      </c>
      <c r="S39" s="186"/>
      <c r="T39" s="208"/>
      <c r="U39" s="413" t="str">
        <f t="shared" si="35"/>
        <v>Ｃ運賃</v>
      </c>
      <c r="V39" s="234">
        <f t="shared" si="32"/>
        <v>1450</v>
      </c>
      <c r="W39" s="232" t="s">
        <v>9</v>
      </c>
      <c r="X39" s="413" t="str">
        <f t="shared" si="36"/>
        <v>Ｃ運賃</v>
      </c>
      <c r="Y39" s="234">
        <f t="shared" si="33"/>
        <v>970</v>
      </c>
      <c r="Z39" s="232" t="s">
        <v>9</v>
      </c>
      <c r="AA39" s="186"/>
      <c r="AB39" s="186"/>
      <c r="AC39" s="186"/>
    </row>
    <row r="40" spans="1:29" ht="16.5" customHeight="1" x14ac:dyDescent="0.2">
      <c r="A40" s="448"/>
      <c r="B40" s="424" t="s">
        <v>32</v>
      </c>
      <c r="C40" s="429">
        <f t="shared" si="34"/>
        <v>620</v>
      </c>
      <c r="D40" s="426" t="s">
        <v>9</v>
      </c>
      <c r="E40" s="427">
        <f t="shared" si="37"/>
        <v>262</v>
      </c>
      <c r="F40" s="425" t="s">
        <v>10</v>
      </c>
      <c r="G40" s="425">
        <v>100</v>
      </c>
      <c r="H40" s="426" t="s">
        <v>9</v>
      </c>
      <c r="I40" s="419">
        <f t="shared" si="30"/>
        <v>1</v>
      </c>
      <c r="J40" s="420" t="s">
        <v>11</v>
      </c>
      <c r="K40" s="421">
        <f>TRUNC(CEILING(ROUNDUP(E40*0.36,0),5)-I40*60,0)</f>
        <v>35</v>
      </c>
      <c r="L40" s="422" t="s">
        <v>12</v>
      </c>
      <c r="M40" s="425">
        <v>100</v>
      </c>
      <c r="N40" s="428" t="s">
        <v>9</v>
      </c>
      <c r="O40" s="185"/>
      <c r="P40" s="424" t="s">
        <v>32</v>
      </c>
      <c r="Q40" s="427">
        <f t="shared" si="38"/>
        <v>2870</v>
      </c>
      <c r="R40" s="428" t="s">
        <v>9</v>
      </c>
      <c r="S40" s="186"/>
      <c r="T40" s="208"/>
      <c r="U40" s="413" t="str">
        <f t="shared" si="35"/>
        <v>Ｄ運賃</v>
      </c>
      <c r="V40" s="234">
        <f t="shared" si="32"/>
        <v>1430</v>
      </c>
      <c r="W40" s="232" t="s">
        <v>9</v>
      </c>
      <c r="X40" s="413" t="str">
        <f t="shared" si="36"/>
        <v>Ｄ運賃</v>
      </c>
      <c r="Y40" s="234">
        <f t="shared" si="33"/>
        <v>950</v>
      </c>
      <c r="Z40" s="232" t="s">
        <v>9</v>
      </c>
      <c r="AA40" s="186"/>
      <c r="AB40" s="186"/>
      <c r="AC40" s="186"/>
    </row>
    <row r="41" spans="1:29" ht="16.5" customHeight="1" x14ac:dyDescent="0.2">
      <c r="A41" s="448"/>
      <c r="B41" s="424" t="s">
        <v>38</v>
      </c>
      <c r="C41" s="429">
        <f t="shared" si="34"/>
        <v>610</v>
      </c>
      <c r="D41" s="426" t="s">
        <v>9</v>
      </c>
      <c r="E41" s="427">
        <f t="shared" si="37"/>
        <v>266</v>
      </c>
      <c r="F41" s="425" t="s">
        <v>10</v>
      </c>
      <c r="G41" s="425">
        <v>100</v>
      </c>
      <c r="H41" s="426" t="s">
        <v>9</v>
      </c>
      <c r="I41" s="419">
        <f t="shared" si="30"/>
        <v>1</v>
      </c>
      <c r="J41" s="420" t="s">
        <v>11</v>
      </c>
      <c r="K41" s="421">
        <f>TRUNC(CEILING(ROUNDUP(E41*0.36,0),5)-I41*60,0)</f>
        <v>40</v>
      </c>
      <c r="L41" s="422" t="s">
        <v>12</v>
      </c>
      <c r="M41" s="425">
        <v>100</v>
      </c>
      <c r="N41" s="428" t="s">
        <v>9</v>
      </c>
      <c r="O41" s="185"/>
      <c r="P41" s="424" t="s">
        <v>38</v>
      </c>
      <c r="Q41" s="427">
        <f t="shared" si="38"/>
        <v>2820</v>
      </c>
      <c r="R41" s="428" t="s">
        <v>9</v>
      </c>
      <c r="S41" s="186"/>
      <c r="T41" s="208"/>
      <c r="U41" s="413" t="str">
        <f t="shared" si="35"/>
        <v>Ｅ運賃</v>
      </c>
      <c r="V41" s="234">
        <f t="shared" si="32"/>
        <v>1410</v>
      </c>
      <c r="W41" s="232" t="s">
        <v>9</v>
      </c>
      <c r="X41" s="413" t="str">
        <f t="shared" si="36"/>
        <v>Ｅ運賃</v>
      </c>
      <c r="Y41" s="234">
        <f t="shared" si="33"/>
        <v>940</v>
      </c>
      <c r="Z41" s="232" t="s">
        <v>9</v>
      </c>
      <c r="AA41" s="186"/>
      <c r="AB41" s="186"/>
      <c r="AC41" s="186"/>
    </row>
    <row r="42" spans="1:29" ht="16.5" customHeight="1" x14ac:dyDescent="0.2">
      <c r="A42" s="448"/>
      <c r="B42" s="424" t="s">
        <v>37</v>
      </c>
      <c r="C42" s="429">
        <f t="shared" si="34"/>
        <v>600</v>
      </c>
      <c r="D42" s="426" t="s">
        <v>9</v>
      </c>
      <c r="E42" s="427">
        <f t="shared" si="37"/>
        <v>271</v>
      </c>
      <c r="F42" s="425" t="s">
        <v>10</v>
      </c>
      <c r="G42" s="425">
        <v>100</v>
      </c>
      <c r="H42" s="426" t="s">
        <v>9</v>
      </c>
      <c r="I42" s="419">
        <f>TRUNC(CEILING(ROUNDUP(E42*0.36,0),5)/60,0)</f>
        <v>1</v>
      </c>
      <c r="J42" s="420" t="s">
        <v>11</v>
      </c>
      <c r="K42" s="421">
        <f>TRUNC(CEILING(ROUNDUP(E42*0.36,0),5)-I42*60,0)</f>
        <v>40</v>
      </c>
      <c r="L42" s="422" t="s">
        <v>12</v>
      </c>
      <c r="M42" s="425">
        <v>100</v>
      </c>
      <c r="N42" s="428" t="s">
        <v>9</v>
      </c>
      <c r="O42" s="185"/>
      <c r="P42" s="424" t="s">
        <v>38</v>
      </c>
      <c r="Q42" s="427">
        <f t="shared" si="38"/>
        <v>2770</v>
      </c>
      <c r="R42" s="428" t="s">
        <v>9</v>
      </c>
      <c r="S42" s="186"/>
      <c r="T42" s="208"/>
      <c r="U42" s="413" t="str">
        <f t="shared" si="35"/>
        <v>Ｅ運賃</v>
      </c>
      <c r="V42" s="234">
        <f t="shared" si="32"/>
        <v>1380</v>
      </c>
      <c r="W42" s="232" t="s">
        <v>9</v>
      </c>
      <c r="X42" s="413" t="str">
        <f t="shared" si="36"/>
        <v>Ｅ運賃</v>
      </c>
      <c r="Y42" s="234">
        <f t="shared" si="33"/>
        <v>920</v>
      </c>
      <c r="Z42" s="232" t="s">
        <v>9</v>
      </c>
      <c r="AA42" s="186"/>
      <c r="AB42" s="186"/>
      <c r="AC42" s="186"/>
    </row>
    <row r="43" spans="1:29" ht="16.5" customHeight="1" x14ac:dyDescent="0.2">
      <c r="A43" s="448"/>
      <c r="B43" s="424" t="s">
        <v>380</v>
      </c>
      <c r="C43" s="429">
        <f t="shared" si="34"/>
        <v>590</v>
      </c>
      <c r="D43" s="430" t="s">
        <v>9</v>
      </c>
      <c r="E43" s="427">
        <f t="shared" si="37"/>
        <v>275</v>
      </c>
      <c r="F43" s="425" t="s">
        <v>10</v>
      </c>
      <c r="G43" s="425">
        <v>100</v>
      </c>
      <c r="H43" s="426" t="s">
        <v>9</v>
      </c>
      <c r="I43" s="419">
        <f t="shared" ref="I43:I46" si="39">TRUNC(CEILING(ROUNDUP(E43*0.36,0),5)/60,0)</f>
        <v>1</v>
      </c>
      <c r="J43" s="420" t="s">
        <v>11</v>
      </c>
      <c r="K43" s="421">
        <f t="shared" ref="K43:K46" si="40">TRUNC(CEILING(ROUNDUP(E43*0.36,0),5)-I43*60,0)</f>
        <v>40</v>
      </c>
      <c r="L43" s="422" t="s">
        <v>12</v>
      </c>
      <c r="M43" s="425">
        <v>100</v>
      </c>
      <c r="N43" s="428" t="s">
        <v>9</v>
      </c>
      <c r="O43" s="185"/>
      <c r="P43" s="424" t="s">
        <v>380</v>
      </c>
      <c r="Q43" s="442">
        <f t="shared" si="38"/>
        <v>2730</v>
      </c>
      <c r="R43" s="431" t="s">
        <v>9</v>
      </c>
      <c r="S43" s="186"/>
      <c r="T43" s="208"/>
      <c r="U43" s="413" t="str">
        <f t="shared" si="35"/>
        <v>Ｇ運賃</v>
      </c>
      <c r="V43" s="234">
        <f t="shared" si="32"/>
        <v>1360</v>
      </c>
      <c r="W43" s="232" t="s">
        <v>9</v>
      </c>
      <c r="X43" s="413" t="str">
        <f t="shared" si="36"/>
        <v>Ｇ運賃</v>
      </c>
      <c r="Y43" s="234">
        <f t="shared" si="33"/>
        <v>910</v>
      </c>
      <c r="Z43" s="232" t="s">
        <v>9</v>
      </c>
      <c r="AA43" s="186"/>
    </row>
    <row r="44" spans="1:29" ht="16.5" customHeight="1" x14ac:dyDescent="0.2">
      <c r="A44" s="448"/>
      <c r="B44" s="424" t="s">
        <v>485</v>
      </c>
      <c r="C44" s="429">
        <f t="shared" si="34"/>
        <v>580</v>
      </c>
      <c r="D44" s="430" t="s">
        <v>9</v>
      </c>
      <c r="E44" s="427">
        <f t="shared" si="37"/>
        <v>280</v>
      </c>
      <c r="F44" s="425" t="s">
        <v>10</v>
      </c>
      <c r="G44" s="425">
        <v>100</v>
      </c>
      <c r="H44" s="426" t="s">
        <v>9</v>
      </c>
      <c r="I44" s="419">
        <f t="shared" si="39"/>
        <v>1</v>
      </c>
      <c r="J44" s="420" t="s">
        <v>11</v>
      </c>
      <c r="K44" s="421">
        <f t="shared" si="40"/>
        <v>45</v>
      </c>
      <c r="L44" s="422" t="s">
        <v>12</v>
      </c>
      <c r="M44" s="425">
        <v>100</v>
      </c>
      <c r="N44" s="428" t="s">
        <v>9</v>
      </c>
      <c r="O44" s="185"/>
      <c r="P44" s="424" t="s">
        <v>485</v>
      </c>
      <c r="Q44" s="442">
        <f t="shared" si="38"/>
        <v>2680</v>
      </c>
      <c r="R44" s="431" t="s">
        <v>9</v>
      </c>
      <c r="S44" s="186"/>
      <c r="T44" s="208"/>
      <c r="U44" s="413" t="str">
        <f t="shared" si="35"/>
        <v>Ｈ運賃</v>
      </c>
      <c r="V44" s="234">
        <f t="shared" si="32"/>
        <v>1340</v>
      </c>
      <c r="W44" s="232" t="s">
        <v>9</v>
      </c>
      <c r="X44" s="413" t="str">
        <f t="shared" si="36"/>
        <v>Ｈ運賃</v>
      </c>
      <c r="Y44" s="234">
        <f t="shared" si="33"/>
        <v>890</v>
      </c>
      <c r="Z44" s="232" t="s">
        <v>9</v>
      </c>
      <c r="AA44" s="186"/>
    </row>
    <row r="45" spans="1:29" ht="16.5" customHeight="1" x14ac:dyDescent="0.2">
      <c r="A45" s="448"/>
      <c r="B45" s="424" t="s">
        <v>486</v>
      </c>
      <c r="C45" s="429">
        <f t="shared" si="34"/>
        <v>570</v>
      </c>
      <c r="D45" s="430" t="s">
        <v>9</v>
      </c>
      <c r="E45" s="427">
        <f t="shared" si="37"/>
        <v>285</v>
      </c>
      <c r="F45" s="425" t="s">
        <v>10</v>
      </c>
      <c r="G45" s="425">
        <v>100</v>
      </c>
      <c r="H45" s="426" t="s">
        <v>9</v>
      </c>
      <c r="I45" s="419">
        <f t="shared" si="39"/>
        <v>1</v>
      </c>
      <c r="J45" s="420" t="s">
        <v>11</v>
      </c>
      <c r="K45" s="421">
        <f t="shared" si="40"/>
        <v>45</v>
      </c>
      <c r="L45" s="422" t="s">
        <v>12</v>
      </c>
      <c r="M45" s="425">
        <v>100</v>
      </c>
      <c r="N45" s="428" t="s">
        <v>9</v>
      </c>
      <c r="O45" s="185"/>
      <c r="P45" s="424" t="s">
        <v>486</v>
      </c>
      <c r="Q45" s="442">
        <f t="shared" si="38"/>
        <v>2640</v>
      </c>
      <c r="R45" s="431" t="s">
        <v>9</v>
      </c>
      <c r="S45" s="186"/>
      <c r="T45" s="208"/>
      <c r="U45" s="413" t="str">
        <f t="shared" si="35"/>
        <v>Ｉ運賃</v>
      </c>
      <c r="V45" s="234">
        <f t="shared" si="32"/>
        <v>1320</v>
      </c>
      <c r="W45" s="232" t="s">
        <v>9</v>
      </c>
      <c r="X45" s="413" t="str">
        <f t="shared" si="36"/>
        <v>Ｉ運賃</v>
      </c>
      <c r="Y45" s="234">
        <f t="shared" si="33"/>
        <v>880</v>
      </c>
      <c r="Z45" s="232" t="s">
        <v>9</v>
      </c>
      <c r="AA45" s="186"/>
    </row>
    <row r="46" spans="1:29" ht="16.5" customHeight="1" thickBot="1" x14ac:dyDescent="0.25">
      <c r="A46" s="448"/>
      <c r="B46" s="432" t="s">
        <v>7</v>
      </c>
      <c r="C46" s="433">
        <f t="shared" si="34"/>
        <v>560</v>
      </c>
      <c r="D46" s="434" t="s">
        <v>9</v>
      </c>
      <c r="E46" s="435">
        <f t="shared" si="37"/>
        <v>290</v>
      </c>
      <c r="F46" s="433" t="s">
        <v>10</v>
      </c>
      <c r="G46" s="433">
        <v>100</v>
      </c>
      <c r="H46" s="434" t="s">
        <v>9</v>
      </c>
      <c r="I46" s="436">
        <f t="shared" si="39"/>
        <v>1</v>
      </c>
      <c r="J46" s="437" t="s">
        <v>11</v>
      </c>
      <c r="K46" s="438">
        <f t="shared" si="40"/>
        <v>45</v>
      </c>
      <c r="L46" s="439" t="s">
        <v>12</v>
      </c>
      <c r="M46" s="433">
        <v>100</v>
      </c>
      <c r="N46" s="440" t="s">
        <v>9</v>
      </c>
      <c r="O46" s="185"/>
      <c r="P46" s="432" t="s">
        <v>7</v>
      </c>
      <c r="Q46" s="435">
        <f t="shared" si="38"/>
        <v>2590</v>
      </c>
      <c r="R46" s="440" t="s">
        <v>9</v>
      </c>
      <c r="S46" s="186"/>
      <c r="T46" s="208"/>
      <c r="U46" s="226" t="str">
        <f t="shared" si="35"/>
        <v>下限運賃</v>
      </c>
      <c r="V46" s="235">
        <f t="shared" si="32"/>
        <v>1290</v>
      </c>
      <c r="W46" s="218" t="s">
        <v>9</v>
      </c>
      <c r="X46" s="226" t="str">
        <f t="shared" si="36"/>
        <v>下限運賃</v>
      </c>
      <c r="Y46" s="235">
        <f t="shared" si="33"/>
        <v>860</v>
      </c>
      <c r="Z46" s="218" t="s">
        <v>9</v>
      </c>
    </row>
    <row r="47" spans="1:29" x14ac:dyDescent="0.2">
      <c r="A47" s="243"/>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row>
    <row r="48" spans="1:29" x14ac:dyDescent="0.2">
      <c r="A48" s="243"/>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row>
    <row r="49" spans="2:26" x14ac:dyDescent="0.2">
      <c r="B49" s="188" t="s">
        <v>259</v>
      </c>
      <c r="C49" s="189" t="str">
        <f>HYPERLINK("#手引き!B46","手引きへ戻る")</f>
        <v>手引きへ戻る</v>
      </c>
      <c r="D49" s="186"/>
      <c r="E49" s="186"/>
      <c r="F49" s="186"/>
      <c r="G49" s="186"/>
      <c r="H49" s="186"/>
      <c r="I49" s="186"/>
      <c r="J49" s="186"/>
      <c r="K49" s="186"/>
      <c r="L49" s="186"/>
      <c r="M49" s="186"/>
      <c r="N49" s="186"/>
      <c r="O49" s="186"/>
      <c r="P49" s="186"/>
      <c r="Q49" s="186"/>
      <c r="R49" s="186"/>
      <c r="S49" s="186"/>
      <c r="T49" s="186"/>
      <c r="U49" s="186"/>
      <c r="V49" s="186"/>
      <c r="W49" s="186"/>
      <c r="X49" s="186"/>
      <c r="Y49" s="186"/>
      <c r="Z49" s="186"/>
    </row>
  </sheetData>
  <sheetProtection algorithmName="SHA-512" hashValue="CsrdhyxHquqQ3KYW84G8sJDM3dRyS9FxD/i9XBQIl8ZhjZgVTZhJVm1dZedq8DF7GeHvt4O2Fvegq1Lxy4FG/Q==" saltValue="91Apob1zPHJ2q3fyW94O3w==" spinCount="100000" sheet="1" objects="1" scenarios="1"/>
  <mergeCells count="46">
    <mergeCell ref="U35:U36"/>
    <mergeCell ref="V35:W35"/>
    <mergeCell ref="X35:X36"/>
    <mergeCell ref="Y35:Z35"/>
    <mergeCell ref="V36:W36"/>
    <mergeCell ref="Y36:Z36"/>
    <mergeCell ref="U21:U22"/>
    <mergeCell ref="V21:W21"/>
    <mergeCell ref="X21:X22"/>
    <mergeCell ref="Y21:Z21"/>
    <mergeCell ref="V22:W22"/>
    <mergeCell ref="Y22:Z22"/>
    <mergeCell ref="U7:U8"/>
    <mergeCell ref="V7:W7"/>
    <mergeCell ref="X7:X8"/>
    <mergeCell ref="Y7:Z7"/>
    <mergeCell ref="V8:W8"/>
    <mergeCell ref="Y8:Z8"/>
    <mergeCell ref="B35:B36"/>
    <mergeCell ref="C35:H35"/>
    <mergeCell ref="I35:N36"/>
    <mergeCell ref="P35:P36"/>
    <mergeCell ref="Q35:R35"/>
    <mergeCell ref="C36:D36"/>
    <mergeCell ref="E36:H36"/>
    <mergeCell ref="Q36:R36"/>
    <mergeCell ref="B21:B22"/>
    <mergeCell ref="C21:H21"/>
    <mergeCell ref="I21:N22"/>
    <mergeCell ref="P21:P22"/>
    <mergeCell ref="Q21:R21"/>
    <mergeCell ref="C22:D22"/>
    <mergeCell ref="E22:H22"/>
    <mergeCell ref="Q22:R22"/>
    <mergeCell ref="M1:R1"/>
    <mergeCell ref="B2:R2"/>
    <mergeCell ref="B7:B8"/>
    <mergeCell ref="C7:H7"/>
    <mergeCell ref="I7:N8"/>
    <mergeCell ref="P7:P8"/>
    <mergeCell ref="Q7:R7"/>
    <mergeCell ref="C8:D8"/>
    <mergeCell ref="E8:H8"/>
    <mergeCell ref="Q8:R8"/>
    <mergeCell ref="C3:S3"/>
    <mergeCell ref="C4:S4"/>
  </mergeCells>
  <phoneticPr fontId="1"/>
  <conditionalFormatting sqref="A9:A18">
    <cfRule type="expression" dxfId="5" priority="11">
      <formula>COUNTIF($A$9:$A$18,"○")=1</formula>
    </cfRule>
  </conditionalFormatting>
  <conditionalFormatting sqref="A23:A32">
    <cfRule type="expression" dxfId="4" priority="2">
      <formula>COUNTIF($A$23:$A$32,"○")=1</formula>
    </cfRule>
  </conditionalFormatting>
  <conditionalFormatting sqref="A37:A46">
    <cfRule type="expression" dxfId="3" priority="7">
      <formula>COUNTIF($A$37:$A$46,"○")=1</formula>
    </cfRule>
  </conditionalFormatting>
  <conditionalFormatting sqref="O9:O18">
    <cfRule type="expression" dxfId="2" priority="3">
      <formula>COUNTIF($O$9:$O$18,"○")=1</formula>
    </cfRule>
  </conditionalFormatting>
  <conditionalFormatting sqref="O23:O32">
    <cfRule type="expression" dxfId="1" priority="1">
      <formula>COUNTIF($O$23:$O$32,"○")=1</formula>
    </cfRule>
  </conditionalFormatting>
  <conditionalFormatting sqref="O37:O46">
    <cfRule type="expression" dxfId="0" priority="108">
      <formula>COUNTIF($O$37:$O$46,"○")=1</formula>
    </cfRule>
  </conditionalFormatting>
  <hyperlinks>
    <hyperlink ref="C49" location="手引き!Print_Area" display="手引きへ戻る" xr:uid="{00000000-0004-0000-0D00-000000000000}"/>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名前2!$B$1:$B$2</xm:f>
          </x14:formula1>
          <xm:sqref>A37:A46 O37:O46 A23:A32 O23:O32 A9:A18 O9:O18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L44"/>
  <sheetViews>
    <sheetView topLeftCell="F1" workbookViewId="0">
      <selection activeCell="H20" sqref="H20"/>
    </sheetView>
  </sheetViews>
  <sheetFormatPr defaultRowHeight="13.2" x14ac:dyDescent="0.2"/>
  <cols>
    <col min="3" max="3" width="13.88671875" bestFit="1" customWidth="1"/>
    <col min="4" max="4" width="58.21875" bestFit="1" customWidth="1"/>
    <col min="5" max="5" width="13.88671875" bestFit="1" customWidth="1"/>
    <col min="6" max="6" width="58.21875" bestFit="1" customWidth="1"/>
    <col min="7" max="7" width="13.88671875" bestFit="1" customWidth="1"/>
    <col min="8" max="8" width="58.21875" bestFit="1" customWidth="1"/>
    <col min="9" max="9" width="13.88671875" customWidth="1"/>
    <col min="10" max="10" width="58.21875" customWidth="1"/>
    <col min="11" max="11" width="13.88671875" customWidth="1"/>
    <col min="12" max="12" width="58.21875" customWidth="1"/>
  </cols>
  <sheetData>
    <row r="1" spans="1:12" x14ac:dyDescent="0.2">
      <c r="A1" t="s">
        <v>48</v>
      </c>
      <c r="B1" t="s">
        <v>50</v>
      </c>
      <c r="C1" t="s">
        <v>255</v>
      </c>
      <c r="D1" t="s">
        <v>216</v>
      </c>
      <c r="E1" t="s">
        <v>256</v>
      </c>
      <c r="F1" t="s">
        <v>220</v>
      </c>
      <c r="G1" t="s">
        <v>257</v>
      </c>
      <c r="H1" t="s">
        <v>223</v>
      </c>
      <c r="I1" t="s">
        <v>258</v>
      </c>
      <c r="J1" t="s">
        <v>242</v>
      </c>
      <c r="K1" t="s">
        <v>334</v>
      </c>
      <c r="L1" t="s">
        <v>328</v>
      </c>
    </row>
    <row r="2" spans="1:12" x14ac:dyDescent="0.2">
      <c r="A2" t="s">
        <v>49</v>
      </c>
      <c r="C2" s="91" t="s">
        <v>67</v>
      </c>
      <c r="D2" s="91" t="s">
        <v>68</v>
      </c>
      <c r="E2" s="91" t="s">
        <v>67</v>
      </c>
      <c r="F2" s="91" t="s">
        <v>68</v>
      </c>
      <c r="G2" s="91" t="s">
        <v>67</v>
      </c>
      <c r="H2" s="91" t="s">
        <v>68</v>
      </c>
      <c r="I2" s="91" t="s">
        <v>67</v>
      </c>
      <c r="J2" s="91" t="s">
        <v>68</v>
      </c>
      <c r="K2" s="91" t="s">
        <v>67</v>
      </c>
      <c r="L2" s="91" t="s">
        <v>68</v>
      </c>
    </row>
    <row r="3" spans="1:12" x14ac:dyDescent="0.2">
      <c r="A3" t="s">
        <v>310</v>
      </c>
      <c r="B3" t="s">
        <v>52</v>
      </c>
      <c r="C3" s="91"/>
      <c r="D3" s="91" t="s">
        <v>70</v>
      </c>
      <c r="E3" s="91"/>
      <c r="F3" s="91" t="s">
        <v>70</v>
      </c>
      <c r="G3" s="91"/>
      <c r="H3" s="91" t="s">
        <v>70</v>
      </c>
      <c r="I3" s="91"/>
      <c r="J3" s="91" t="s">
        <v>70</v>
      </c>
      <c r="K3" s="91"/>
      <c r="L3" s="91" t="s">
        <v>70</v>
      </c>
    </row>
    <row r="4" spans="1:12" x14ac:dyDescent="0.2">
      <c r="A4" t="s">
        <v>311</v>
      </c>
      <c r="C4" s="91"/>
      <c r="D4" s="91" t="s">
        <v>221</v>
      </c>
      <c r="E4" s="91"/>
      <c r="F4" s="91" t="s">
        <v>221</v>
      </c>
      <c r="G4" s="91"/>
      <c r="H4" s="91" t="s">
        <v>69</v>
      </c>
      <c r="I4" s="91"/>
      <c r="J4" s="91" t="s">
        <v>69</v>
      </c>
      <c r="K4" s="91"/>
      <c r="L4" s="91" t="s">
        <v>69</v>
      </c>
    </row>
    <row r="5" spans="1:12" x14ac:dyDescent="0.2">
      <c r="A5" t="s">
        <v>216</v>
      </c>
      <c r="B5" t="s">
        <v>255</v>
      </c>
      <c r="C5" s="91" t="s">
        <v>83</v>
      </c>
      <c r="D5" s="91" t="s">
        <v>85</v>
      </c>
      <c r="E5" s="91" t="s">
        <v>83</v>
      </c>
      <c r="F5" s="91" t="s">
        <v>103</v>
      </c>
      <c r="G5" s="91" t="s">
        <v>83</v>
      </c>
      <c r="H5" s="91" t="s">
        <v>103</v>
      </c>
      <c r="I5" s="91" t="s">
        <v>83</v>
      </c>
      <c r="J5" s="91" t="s">
        <v>103</v>
      </c>
      <c r="K5" s="91" t="s">
        <v>83</v>
      </c>
      <c r="L5" s="91" t="s">
        <v>103</v>
      </c>
    </row>
    <row r="6" spans="1:12" x14ac:dyDescent="0.2">
      <c r="A6" t="s">
        <v>220</v>
      </c>
      <c r="B6" t="s">
        <v>256</v>
      </c>
      <c r="C6" s="91"/>
      <c r="D6" s="91" t="s">
        <v>425</v>
      </c>
      <c r="E6" s="91"/>
      <c r="F6" s="91" t="s">
        <v>104</v>
      </c>
      <c r="G6" s="91"/>
      <c r="H6" s="91" t="s">
        <v>104</v>
      </c>
      <c r="I6" s="91"/>
      <c r="J6" s="91" t="s">
        <v>104</v>
      </c>
      <c r="K6" s="91"/>
      <c r="L6" s="91" t="s">
        <v>104</v>
      </c>
    </row>
    <row r="7" spans="1:12" x14ac:dyDescent="0.2">
      <c r="A7" t="s">
        <v>223</v>
      </c>
      <c r="B7" t="s">
        <v>257</v>
      </c>
      <c r="C7" s="91"/>
      <c r="D7" s="91" t="s">
        <v>426</v>
      </c>
      <c r="E7" s="91"/>
      <c r="F7" s="91" t="s">
        <v>222</v>
      </c>
      <c r="G7" s="91"/>
      <c r="H7" s="91" t="s">
        <v>105</v>
      </c>
      <c r="I7" s="91"/>
      <c r="J7" s="91" t="s">
        <v>105</v>
      </c>
      <c r="K7" s="91"/>
      <c r="L7" s="91" t="s">
        <v>105</v>
      </c>
    </row>
    <row r="8" spans="1:12" x14ac:dyDescent="0.2">
      <c r="A8" t="s">
        <v>242</v>
      </c>
      <c r="B8" t="s">
        <v>258</v>
      </c>
      <c r="C8" s="91"/>
      <c r="D8" s="91" t="s">
        <v>427</v>
      </c>
      <c r="E8" s="91" t="s">
        <v>84</v>
      </c>
      <c r="F8" s="91" t="s">
        <v>85</v>
      </c>
      <c r="G8" s="91" t="s">
        <v>84</v>
      </c>
      <c r="H8" s="91" t="s">
        <v>85</v>
      </c>
      <c r="I8" s="91" t="s">
        <v>229</v>
      </c>
      <c r="J8" s="91" t="s">
        <v>85</v>
      </c>
      <c r="K8" s="91" t="s">
        <v>229</v>
      </c>
      <c r="L8" s="91" t="s">
        <v>85</v>
      </c>
    </row>
    <row r="9" spans="1:12" x14ac:dyDescent="0.2">
      <c r="A9" t="s">
        <v>328</v>
      </c>
      <c r="B9" t="s">
        <v>334</v>
      </c>
      <c r="C9" s="91"/>
      <c r="D9" s="91" t="s">
        <v>428</v>
      </c>
      <c r="E9" s="91"/>
      <c r="F9" s="91" t="s">
        <v>95</v>
      </c>
      <c r="G9" s="91"/>
      <c r="H9" s="91" t="s">
        <v>95</v>
      </c>
      <c r="I9" s="91"/>
      <c r="J9" s="91" t="s">
        <v>225</v>
      </c>
      <c r="K9" s="91"/>
      <c r="L9" s="91" t="s">
        <v>225</v>
      </c>
    </row>
    <row r="10" spans="1:12" x14ac:dyDescent="0.2">
      <c r="C10" s="91"/>
      <c r="D10" s="91" t="s">
        <v>105</v>
      </c>
      <c r="E10" s="91"/>
      <c r="F10" s="91" t="s">
        <v>96</v>
      </c>
      <c r="G10" s="91"/>
      <c r="H10" s="91" t="s">
        <v>96</v>
      </c>
      <c r="I10" s="91"/>
      <c r="J10" s="91" t="s">
        <v>224</v>
      </c>
      <c r="K10" s="91"/>
      <c r="L10" s="91" t="s">
        <v>224</v>
      </c>
    </row>
    <row r="11" spans="1:12" x14ac:dyDescent="0.2">
      <c r="A11" t="e">
        <f>IF(別紙!AF2=60,60,"")</f>
        <v>#N/A</v>
      </c>
      <c r="B11">
        <v>30</v>
      </c>
      <c r="C11" s="91" t="s">
        <v>84</v>
      </c>
      <c r="D11" s="91" t="s">
        <v>85</v>
      </c>
      <c r="E11" s="91"/>
      <c r="F11" s="91" t="s">
        <v>97</v>
      </c>
      <c r="G11" s="91"/>
      <c r="H11" s="91" t="s">
        <v>97</v>
      </c>
      <c r="I11" s="91"/>
      <c r="J11" s="91" t="s">
        <v>226</v>
      </c>
      <c r="K11" s="91"/>
      <c r="L11" s="91" t="s">
        <v>226</v>
      </c>
    </row>
    <row r="12" spans="1:12" x14ac:dyDescent="0.2">
      <c r="A12">
        <v>30</v>
      </c>
      <c r="B12">
        <v>15</v>
      </c>
      <c r="C12" s="91"/>
      <c r="D12" s="91" t="s">
        <v>95</v>
      </c>
      <c r="E12" s="91"/>
      <c r="F12" s="91" t="s">
        <v>527</v>
      </c>
      <c r="G12" s="91"/>
      <c r="H12" s="91" t="s">
        <v>527</v>
      </c>
      <c r="I12" s="91"/>
      <c r="J12" s="91" t="s">
        <v>227</v>
      </c>
      <c r="K12" s="91"/>
      <c r="L12" s="91" t="s">
        <v>227</v>
      </c>
    </row>
    <row r="13" spans="1:12" x14ac:dyDescent="0.2">
      <c r="A13">
        <v>15</v>
      </c>
      <c r="B13">
        <v>10</v>
      </c>
      <c r="C13" s="91"/>
      <c r="D13" s="91" t="s">
        <v>96</v>
      </c>
      <c r="E13" s="91"/>
      <c r="F13" s="91" t="s">
        <v>528</v>
      </c>
      <c r="G13" s="91"/>
      <c r="H13" s="91" t="s">
        <v>528</v>
      </c>
      <c r="I13" s="91"/>
      <c r="J13" s="91" t="s">
        <v>228</v>
      </c>
      <c r="K13" s="91"/>
      <c r="L13" s="91" t="s">
        <v>228</v>
      </c>
    </row>
    <row r="14" spans="1:12" x14ac:dyDescent="0.2">
      <c r="A14">
        <v>10</v>
      </c>
      <c r="C14" s="91"/>
      <c r="D14" s="91" t="s">
        <v>97</v>
      </c>
      <c r="F14" s="91" t="s">
        <v>531</v>
      </c>
      <c r="H14" s="91" t="s">
        <v>531</v>
      </c>
      <c r="I14" s="91" t="s">
        <v>230</v>
      </c>
      <c r="J14" s="91" t="s">
        <v>85</v>
      </c>
      <c r="K14" s="91" t="s">
        <v>230</v>
      </c>
      <c r="L14" s="91" t="s">
        <v>85</v>
      </c>
    </row>
    <row r="15" spans="1:12" x14ac:dyDescent="0.2">
      <c r="C15" s="91"/>
      <c r="D15" s="91" t="s">
        <v>527</v>
      </c>
      <c r="F15" s="91" t="s">
        <v>530</v>
      </c>
      <c r="H15" s="91" t="s">
        <v>530</v>
      </c>
      <c r="I15" s="91"/>
      <c r="J15" s="91" t="s">
        <v>231</v>
      </c>
      <c r="K15" s="91"/>
      <c r="L15" s="91" t="s">
        <v>231</v>
      </c>
    </row>
    <row r="16" spans="1:12" x14ac:dyDescent="0.2">
      <c r="C16" s="91"/>
      <c r="D16" s="91" t="s">
        <v>528</v>
      </c>
      <c r="F16" s="91" t="s">
        <v>522</v>
      </c>
      <c r="H16" s="91" t="s">
        <v>522</v>
      </c>
      <c r="I16" s="91"/>
      <c r="J16" s="91" t="s">
        <v>232</v>
      </c>
      <c r="K16" s="91"/>
      <c r="L16" s="91" t="s">
        <v>232</v>
      </c>
    </row>
    <row r="17" spans="1:12" x14ac:dyDescent="0.2">
      <c r="D17" s="91" t="s">
        <v>531</v>
      </c>
      <c r="F17" s="91" t="s">
        <v>523</v>
      </c>
      <c r="H17" s="91" t="s">
        <v>523</v>
      </c>
      <c r="I17" s="91"/>
      <c r="J17" s="91" t="s">
        <v>97</v>
      </c>
      <c r="K17" s="91"/>
      <c r="L17" s="91" t="s">
        <v>97</v>
      </c>
    </row>
    <row r="18" spans="1:12" x14ac:dyDescent="0.2">
      <c r="A18">
        <v>1</v>
      </c>
      <c r="B18" t="s">
        <v>351</v>
      </c>
      <c r="D18" s="91" t="s">
        <v>530</v>
      </c>
      <c r="E18" s="91" t="s">
        <v>86</v>
      </c>
      <c r="F18" s="91" t="s">
        <v>524</v>
      </c>
      <c r="G18" s="91" t="s">
        <v>86</v>
      </c>
      <c r="H18" s="91" t="s">
        <v>524</v>
      </c>
      <c r="I18" s="91"/>
      <c r="J18" s="91" t="s">
        <v>233</v>
      </c>
      <c r="K18" s="91"/>
      <c r="L18" s="91" t="s">
        <v>233</v>
      </c>
    </row>
    <row r="19" spans="1:12" x14ac:dyDescent="0.2">
      <c r="A19">
        <v>2</v>
      </c>
      <c r="B19" t="s">
        <v>352</v>
      </c>
      <c r="D19" s="91" t="s">
        <v>522</v>
      </c>
      <c r="E19" s="91"/>
      <c r="F19" s="91" t="s">
        <v>100</v>
      </c>
      <c r="G19" s="91"/>
      <c r="H19" s="91" t="s">
        <v>100</v>
      </c>
      <c r="I19" s="91"/>
      <c r="J19" s="91" t="s">
        <v>234</v>
      </c>
      <c r="K19" s="91"/>
      <c r="L19" s="91" t="s">
        <v>234</v>
      </c>
    </row>
    <row r="20" spans="1:12" x14ac:dyDescent="0.2">
      <c r="A20">
        <v>3</v>
      </c>
      <c r="B20" t="s">
        <v>353</v>
      </c>
      <c r="D20" s="91" t="s">
        <v>523</v>
      </c>
      <c r="E20" s="91"/>
      <c r="F20" s="91" t="s">
        <v>525</v>
      </c>
      <c r="G20" s="91"/>
      <c r="H20" s="91" t="s">
        <v>525</v>
      </c>
      <c r="I20" s="91" t="s">
        <v>86</v>
      </c>
      <c r="J20" s="91" t="s">
        <v>98</v>
      </c>
      <c r="K20" s="91" t="s">
        <v>86</v>
      </c>
      <c r="L20" s="91" t="s">
        <v>98</v>
      </c>
    </row>
    <row r="21" spans="1:12" x14ac:dyDescent="0.2">
      <c r="A21">
        <v>4</v>
      </c>
      <c r="B21" t="s">
        <v>354</v>
      </c>
      <c r="C21" s="91" t="s">
        <v>86</v>
      </c>
      <c r="D21" s="91" t="s">
        <v>524</v>
      </c>
      <c r="E21" s="91"/>
      <c r="F21" s="91" t="s">
        <v>526</v>
      </c>
      <c r="G21" s="91"/>
      <c r="H21" s="91" t="s">
        <v>526</v>
      </c>
      <c r="I21" s="91"/>
      <c r="J21" s="91" t="s">
        <v>99</v>
      </c>
      <c r="K21" s="91"/>
      <c r="L21" s="91" t="s">
        <v>99</v>
      </c>
    </row>
    <row r="22" spans="1:12" x14ac:dyDescent="0.2">
      <c r="A22">
        <v>5</v>
      </c>
      <c r="B22" t="s">
        <v>355</v>
      </c>
      <c r="C22" s="91"/>
      <c r="D22" s="91" t="s">
        <v>100</v>
      </c>
      <c r="E22" s="91"/>
      <c r="F22" s="91" t="s">
        <v>87</v>
      </c>
      <c r="G22" s="91"/>
      <c r="H22" s="91" t="s">
        <v>87</v>
      </c>
      <c r="I22" s="91"/>
      <c r="J22" s="91" t="s">
        <v>235</v>
      </c>
      <c r="K22" s="91"/>
      <c r="L22" s="91" t="s">
        <v>235</v>
      </c>
    </row>
    <row r="23" spans="1:12" x14ac:dyDescent="0.2">
      <c r="A23">
        <v>6</v>
      </c>
      <c r="B23" t="s">
        <v>356</v>
      </c>
      <c r="C23" s="91"/>
      <c r="D23" s="91" t="s">
        <v>525</v>
      </c>
      <c r="E23" s="91"/>
      <c r="F23" s="91" t="s">
        <v>88</v>
      </c>
      <c r="G23" s="91"/>
      <c r="H23" s="91" t="s">
        <v>88</v>
      </c>
      <c r="I23" s="91"/>
      <c r="J23" s="91" t="s">
        <v>236</v>
      </c>
      <c r="K23" s="91"/>
      <c r="L23" s="91" t="s">
        <v>236</v>
      </c>
    </row>
    <row r="24" spans="1:12" x14ac:dyDescent="0.2">
      <c r="A24">
        <v>7</v>
      </c>
      <c r="B24" t="s">
        <v>357</v>
      </c>
      <c r="C24" s="91"/>
      <c r="D24" s="91" t="s">
        <v>526</v>
      </c>
      <c r="E24" s="91"/>
      <c r="F24" s="91" t="s">
        <v>89</v>
      </c>
      <c r="G24" s="91"/>
      <c r="H24" s="91" t="s">
        <v>89</v>
      </c>
      <c r="I24" s="91"/>
      <c r="J24" s="91" t="s">
        <v>100</v>
      </c>
      <c r="K24" s="91"/>
      <c r="L24" s="91" t="s">
        <v>100</v>
      </c>
    </row>
    <row r="25" spans="1:12" x14ac:dyDescent="0.2">
      <c r="A25">
        <v>8</v>
      </c>
      <c r="B25" t="s">
        <v>358</v>
      </c>
      <c r="C25" s="91"/>
      <c r="D25" s="91" t="s">
        <v>87</v>
      </c>
      <c r="E25" s="91"/>
      <c r="F25" s="91" t="s">
        <v>106</v>
      </c>
      <c r="G25" s="91"/>
      <c r="H25" s="91" t="s">
        <v>106</v>
      </c>
      <c r="I25" s="91"/>
      <c r="J25" s="91" t="s">
        <v>102</v>
      </c>
      <c r="K25" s="91"/>
      <c r="L25" s="91" t="s">
        <v>102</v>
      </c>
    </row>
    <row r="26" spans="1:12" x14ac:dyDescent="0.2">
      <c r="A26">
        <v>9</v>
      </c>
      <c r="B26" t="s">
        <v>359</v>
      </c>
      <c r="C26" s="91"/>
      <c r="D26" s="91" t="s">
        <v>88</v>
      </c>
      <c r="E26" s="91"/>
      <c r="F26" s="91" t="s">
        <v>107</v>
      </c>
      <c r="G26" s="91"/>
      <c r="H26" s="91" t="s">
        <v>107</v>
      </c>
      <c r="I26" s="91"/>
      <c r="J26" s="91" t="s">
        <v>101</v>
      </c>
      <c r="K26" s="91"/>
      <c r="L26" s="91" t="s">
        <v>101</v>
      </c>
    </row>
    <row r="27" spans="1:12" x14ac:dyDescent="0.2">
      <c r="A27">
        <v>10</v>
      </c>
      <c r="B27" t="s">
        <v>360</v>
      </c>
      <c r="C27" s="91"/>
      <c r="D27" s="91" t="s">
        <v>89</v>
      </c>
      <c r="E27" s="91"/>
      <c r="F27" s="91" t="s">
        <v>90</v>
      </c>
      <c r="G27" s="91"/>
      <c r="H27" s="91" t="s">
        <v>90</v>
      </c>
      <c r="I27" s="91"/>
      <c r="J27" s="91" t="s">
        <v>87</v>
      </c>
      <c r="K27" s="91"/>
      <c r="L27" s="91" t="s">
        <v>87</v>
      </c>
    </row>
    <row r="28" spans="1:12" x14ac:dyDescent="0.2">
      <c r="A28">
        <v>11</v>
      </c>
      <c r="B28" t="s">
        <v>361</v>
      </c>
      <c r="C28" s="91"/>
      <c r="D28" s="91" t="s">
        <v>106</v>
      </c>
      <c r="E28" s="91"/>
      <c r="F28" s="91" t="s">
        <v>91</v>
      </c>
      <c r="G28" s="91"/>
      <c r="H28" s="91" t="s">
        <v>91</v>
      </c>
      <c r="I28" s="91"/>
      <c r="J28" s="91" t="s">
        <v>88</v>
      </c>
      <c r="K28" s="91"/>
      <c r="L28" s="91" t="s">
        <v>88</v>
      </c>
    </row>
    <row r="29" spans="1:12" x14ac:dyDescent="0.2">
      <c r="A29">
        <v>12</v>
      </c>
      <c r="B29" t="s">
        <v>362</v>
      </c>
      <c r="C29" s="91"/>
      <c r="D29" s="91" t="s">
        <v>107</v>
      </c>
      <c r="E29" s="91"/>
      <c r="F29" s="91" t="s">
        <v>92</v>
      </c>
      <c r="G29" s="91"/>
      <c r="H29" s="91" t="s">
        <v>92</v>
      </c>
      <c r="I29" s="91"/>
      <c r="J29" s="91" t="s">
        <v>237</v>
      </c>
      <c r="K29" s="91"/>
      <c r="L29" s="91" t="s">
        <v>237</v>
      </c>
    </row>
    <row r="30" spans="1:12" x14ac:dyDescent="0.2">
      <c r="A30">
        <v>13</v>
      </c>
      <c r="B30" t="s">
        <v>363</v>
      </c>
      <c r="C30" s="91"/>
      <c r="D30" s="91" t="s">
        <v>90</v>
      </c>
      <c r="E30" s="91"/>
      <c r="F30" s="91" t="s">
        <v>93</v>
      </c>
      <c r="G30" s="91"/>
      <c r="H30" s="91" t="s">
        <v>93</v>
      </c>
      <c r="I30" s="91"/>
      <c r="J30" s="91" t="s">
        <v>106</v>
      </c>
      <c r="K30" s="91"/>
      <c r="L30" s="91" t="s">
        <v>106</v>
      </c>
    </row>
    <row r="31" spans="1:12" x14ac:dyDescent="0.2">
      <c r="A31">
        <v>14</v>
      </c>
      <c r="B31" t="s">
        <v>364</v>
      </c>
      <c r="C31" s="91"/>
      <c r="D31" s="91" t="s">
        <v>91</v>
      </c>
      <c r="E31" s="91"/>
      <c r="F31" s="91" t="s">
        <v>94</v>
      </c>
      <c r="G31" s="91"/>
      <c r="H31" s="91" t="s">
        <v>94</v>
      </c>
      <c r="I31" s="91"/>
      <c r="J31" s="91" t="s">
        <v>107</v>
      </c>
      <c r="K31" s="91"/>
      <c r="L31" s="91" t="s">
        <v>107</v>
      </c>
    </row>
    <row r="32" spans="1:12" x14ac:dyDescent="0.2">
      <c r="A32">
        <v>15</v>
      </c>
      <c r="B32" t="s">
        <v>365</v>
      </c>
      <c r="C32" s="91"/>
      <c r="D32" s="91" t="s">
        <v>92</v>
      </c>
      <c r="I32" s="91"/>
      <c r="J32" s="91" t="s">
        <v>90</v>
      </c>
      <c r="K32" s="91"/>
      <c r="L32" s="91" t="s">
        <v>90</v>
      </c>
    </row>
    <row r="33" spans="1:12" x14ac:dyDescent="0.2">
      <c r="A33">
        <v>16</v>
      </c>
      <c r="B33" t="s">
        <v>366</v>
      </c>
      <c r="C33" s="91"/>
      <c r="D33" s="91" t="s">
        <v>93</v>
      </c>
      <c r="I33" s="91"/>
      <c r="J33" s="91" t="s">
        <v>91</v>
      </c>
      <c r="K33" s="91"/>
      <c r="L33" s="91" t="s">
        <v>91</v>
      </c>
    </row>
    <row r="34" spans="1:12" x14ac:dyDescent="0.2">
      <c r="A34">
        <v>17</v>
      </c>
      <c r="B34" t="s">
        <v>367</v>
      </c>
      <c r="C34" s="91"/>
      <c r="D34" s="91" t="s">
        <v>94</v>
      </c>
      <c r="I34" s="91"/>
      <c r="J34" s="91" t="s">
        <v>92</v>
      </c>
      <c r="K34" s="91"/>
      <c r="L34" s="91" t="s">
        <v>92</v>
      </c>
    </row>
    <row r="35" spans="1:12" x14ac:dyDescent="0.2">
      <c r="A35">
        <v>18</v>
      </c>
      <c r="B35" t="s">
        <v>368</v>
      </c>
      <c r="C35" s="91"/>
      <c r="J35" s="91" t="s">
        <v>93</v>
      </c>
      <c r="L35" s="91" t="s">
        <v>93</v>
      </c>
    </row>
    <row r="36" spans="1:12" x14ac:dyDescent="0.2">
      <c r="A36">
        <v>19</v>
      </c>
      <c r="B36" t="s">
        <v>369</v>
      </c>
      <c r="J36" s="91" t="s">
        <v>94</v>
      </c>
      <c r="L36" s="91" t="s">
        <v>94</v>
      </c>
    </row>
    <row r="37" spans="1:12" x14ac:dyDescent="0.2">
      <c r="A37">
        <v>20</v>
      </c>
      <c r="B37" t="s">
        <v>370</v>
      </c>
      <c r="J37" s="91" t="s">
        <v>238</v>
      </c>
    </row>
    <row r="38" spans="1:12" ht="15" x14ac:dyDescent="0.3">
      <c r="A38">
        <v>21</v>
      </c>
      <c r="B38" t="s">
        <v>371</v>
      </c>
      <c r="J38" s="91" t="s">
        <v>239</v>
      </c>
      <c r="K38" s="98"/>
      <c r="L38" s="98"/>
    </row>
    <row r="39" spans="1:12" ht="15" x14ac:dyDescent="0.3">
      <c r="A39">
        <v>22</v>
      </c>
      <c r="B39" t="s">
        <v>372</v>
      </c>
      <c r="J39" s="91" t="s">
        <v>240</v>
      </c>
      <c r="K39" s="98"/>
      <c r="L39" s="98"/>
    </row>
    <row r="40" spans="1:12" ht="15" x14ac:dyDescent="0.3">
      <c r="A40">
        <v>23</v>
      </c>
      <c r="B40" t="s">
        <v>350</v>
      </c>
      <c r="J40" s="91" t="s">
        <v>241</v>
      </c>
      <c r="K40" s="98"/>
      <c r="L40" s="98"/>
    </row>
    <row r="41" spans="1:12" ht="15" x14ac:dyDescent="0.3">
      <c r="A41">
        <v>24</v>
      </c>
      <c r="B41" t="s">
        <v>373</v>
      </c>
      <c r="H41" s="91"/>
      <c r="K41" s="98"/>
      <c r="L41" s="98"/>
    </row>
    <row r="42" spans="1:12" ht="15" x14ac:dyDescent="0.3">
      <c r="A42">
        <v>25</v>
      </c>
      <c r="B42" t="s">
        <v>374</v>
      </c>
      <c r="H42" s="91"/>
      <c r="K42" s="98"/>
      <c r="L42" s="98"/>
    </row>
    <row r="43" spans="1:12" x14ac:dyDescent="0.2">
      <c r="A43">
        <v>26</v>
      </c>
      <c r="B43" t="s">
        <v>375</v>
      </c>
    </row>
    <row r="44" spans="1:12" x14ac:dyDescent="0.2">
      <c r="A44">
        <v>27</v>
      </c>
      <c r="B44" t="s">
        <v>376</v>
      </c>
    </row>
  </sheetData>
  <sheetProtection algorithmName="SHA-512" hashValue="tSHwv3JZTALv+sVcH3hALCfWu8VnnwK02QZOLNC/KV71YxfvhGk+nZL/x4UmEkHdMxk0IABNBQhFheVLUcM58w==" saltValue="CExSPwsOqRtGdhfjJ5ioFQ=="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49"/>
  <sheetViews>
    <sheetView view="pageBreakPreview" zoomScale="70" zoomScaleNormal="100" zoomScaleSheetLayoutView="70" workbookViewId="0">
      <selection activeCell="R18" sqref="R18"/>
    </sheetView>
  </sheetViews>
  <sheetFormatPr defaultColWidth="9" defaultRowHeight="13.2" x14ac:dyDescent="0.2"/>
  <cols>
    <col min="1" max="1" width="9" style="61" customWidth="1"/>
    <col min="2" max="2" width="12.21875" style="61" customWidth="1"/>
    <col min="3" max="4" width="9" style="61"/>
    <col min="5" max="5" width="13.21875" style="61" customWidth="1"/>
    <col min="6" max="8" width="9" style="61"/>
    <col min="9" max="9" width="8.33203125" style="61" customWidth="1"/>
    <col min="10" max="16384" width="9" style="61"/>
  </cols>
  <sheetData>
    <row r="1" spans="1:9" ht="16.5" customHeight="1" x14ac:dyDescent="0.2">
      <c r="A1" s="60"/>
      <c r="B1" s="60"/>
      <c r="C1" s="60"/>
      <c r="D1" s="60"/>
      <c r="E1" s="60"/>
      <c r="F1" s="60"/>
      <c r="G1" s="515" t="str">
        <f>IF(手引き!D9="","令和　　年　　月　　日",手引き!D9)</f>
        <v>令和　　年　　月　　日</v>
      </c>
      <c r="H1" s="515"/>
      <c r="I1" s="515"/>
    </row>
    <row r="2" spans="1:9" ht="16.5" customHeight="1" x14ac:dyDescent="0.2">
      <c r="A2" s="60"/>
      <c r="B2" s="60"/>
      <c r="C2" s="60"/>
      <c r="D2" s="60"/>
      <c r="E2" s="60"/>
      <c r="F2" s="60"/>
      <c r="G2" s="60"/>
      <c r="H2" s="60"/>
      <c r="I2" s="60"/>
    </row>
    <row r="3" spans="1:9" ht="16.5" customHeight="1" x14ac:dyDescent="0.2">
      <c r="A3" s="62" t="s">
        <v>58</v>
      </c>
      <c r="B3" s="60"/>
      <c r="C3" s="60"/>
      <c r="D3" s="60"/>
      <c r="E3" s="60"/>
      <c r="F3" s="60"/>
      <c r="G3" s="60"/>
      <c r="H3" s="60"/>
      <c r="I3" s="60"/>
    </row>
    <row r="4" spans="1:9" ht="16.5" customHeight="1" x14ac:dyDescent="0.2">
      <c r="A4" s="60"/>
      <c r="B4" s="60"/>
      <c r="C4" s="60"/>
      <c r="D4" s="60"/>
      <c r="E4" s="60"/>
      <c r="F4" s="60"/>
      <c r="G4" s="60"/>
      <c r="H4" s="60"/>
      <c r="I4" s="60"/>
    </row>
    <row r="5" spans="1:9" ht="16.5" customHeight="1" x14ac:dyDescent="0.2">
      <c r="A5" s="60"/>
      <c r="B5" s="60"/>
      <c r="C5" s="60"/>
      <c r="D5" s="60"/>
      <c r="E5" s="72" t="s">
        <v>78</v>
      </c>
      <c r="F5" s="516" t="str">
        <f>IF(手引き!D10="","",手引き!D10)</f>
        <v/>
      </c>
      <c r="G5" s="516"/>
      <c r="H5" s="516"/>
      <c r="I5" s="516"/>
    </row>
    <row r="6" spans="1:9" ht="16.5" customHeight="1" x14ac:dyDescent="0.2">
      <c r="A6" s="60"/>
      <c r="B6" s="60"/>
      <c r="C6" s="60"/>
      <c r="D6" s="60"/>
      <c r="E6" s="72" t="s">
        <v>79</v>
      </c>
      <c r="F6" s="516" t="str">
        <f>IF(手引き!D11="","",手引き!D11)</f>
        <v/>
      </c>
      <c r="G6" s="516"/>
      <c r="H6" s="516"/>
      <c r="I6" s="516"/>
    </row>
    <row r="7" spans="1:9" ht="16.5" customHeight="1" x14ac:dyDescent="0.2">
      <c r="A7" s="60"/>
      <c r="B7" s="60"/>
      <c r="C7" s="60"/>
      <c r="D7" s="60"/>
      <c r="E7" s="72" t="s">
        <v>76</v>
      </c>
      <c r="F7" s="516" t="str">
        <f>IF(手引き!D12="","",手引き!D12)</f>
        <v/>
      </c>
      <c r="G7" s="516"/>
      <c r="H7" s="516"/>
      <c r="I7" s="516"/>
    </row>
    <row r="8" spans="1:9" ht="16.5" customHeight="1" x14ac:dyDescent="0.2">
      <c r="A8" s="60"/>
      <c r="B8" s="60"/>
      <c r="C8" s="60"/>
      <c r="D8" s="60"/>
      <c r="E8" s="60" t="s">
        <v>53</v>
      </c>
      <c r="F8" s="516" t="str">
        <f>IF(手引き!D13="","",手引き!D13)</f>
        <v/>
      </c>
      <c r="G8" s="516"/>
      <c r="H8" s="516"/>
      <c r="I8" s="516"/>
    </row>
    <row r="9" spans="1:9" ht="16.5" customHeight="1" x14ac:dyDescent="0.2">
      <c r="A9" s="60"/>
      <c r="B9" s="60"/>
      <c r="C9" s="60"/>
      <c r="D9" s="60"/>
      <c r="E9" s="60" t="s">
        <v>164</v>
      </c>
      <c r="F9" s="516" t="str">
        <f>IF(手引き!D14="","",手引き!D14)</f>
        <v/>
      </c>
      <c r="G9" s="516"/>
      <c r="H9" s="516"/>
      <c r="I9" s="516"/>
    </row>
    <row r="10" spans="1:9" ht="16.5" customHeight="1" x14ac:dyDescent="0.2">
      <c r="A10" s="60"/>
      <c r="B10" s="60"/>
      <c r="C10" s="60"/>
      <c r="D10" s="60"/>
      <c r="E10" s="60" t="s">
        <v>73</v>
      </c>
      <c r="F10" s="516" t="str">
        <f>IF(手引き!D15="","",手引き!D15)</f>
        <v/>
      </c>
      <c r="G10" s="516"/>
      <c r="H10" s="516"/>
      <c r="I10" s="516"/>
    </row>
    <row r="11" spans="1:9" ht="16.5" customHeight="1" x14ac:dyDescent="0.2">
      <c r="A11" s="60"/>
      <c r="B11" s="60"/>
      <c r="C11" s="60"/>
      <c r="D11" s="60"/>
      <c r="E11" s="60"/>
      <c r="F11" s="60"/>
      <c r="G11" s="60"/>
      <c r="H11" s="60"/>
      <c r="I11" s="60"/>
    </row>
    <row r="12" spans="1:9" ht="16.5" customHeight="1" x14ac:dyDescent="0.2">
      <c r="A12" s="60"/>
      <c r="B12" s="60"/>
      <c r="C12" s="60"/>
      <c r="D12" s="60"/>
      <c r="E12" s="60"/>
      <c r="F12" s="60"/>
      <c r="G12" s="60"/>
      <c r="H12" s="60"/>
      <c r="I12" s="60"/>
    </row>
    <row r="13" spans="1:9" ht="16.5" customHeight="1" x14ac:dyDescent="0.2">
      <c r="A13" s="63"/>
      <c r="B13" s="63"/>
      <c r="C13" s="63"/>
      <c r="D13" s="63"/>
      <c r="E13" s="64" t="s">
        <v>54</v>
      </c>
      <c r="F13" s="63"/>
      <c r="G13" s="63"/>
      <c r="H13" s="63"/>
      <c r="I13" s="63"/>
    </row>
    <row r="14" spans="1:9" ht="16.5" customHeight="1" x14ac:dyDescent="0.2">
      <c r="A14" s="63"/>
      <c r="B14" s="63"/>
      <c r="C14" s="63"/>
      <c r="D14" s="63"/>
      <c r="E14" s="64" t="str">
        <f>IF(手引き!$C$18="○","運賃及び料金設定認可申請書","運賃及び料金変更認可申請書")</f>
        <v>運賃及び料金変更認可申請書</v>
      </c>
      <c r="F14" s="63"/>
      <c r="G14" s="63"/>
      <c r="H14" s="63"/>
      <c r="I14" s="63"/>
    </row>
    <row r="15" spans="1:9" ht="16.5" customHeight="1" x14ac:dyDescent="0.2">
      <c r="A15" s="60"/>
      <c r="B15" s="60"/>
      <c r="C15" s="60"/>
      <c r="D15" s="60"/>
      <c r="E15" s="60"/>
      <c r="F15" s="60"/>
      <c r="G15" s="60"/>
      <c r="H15" s="60"/>
      <c r="I15" s="60"/>
    </row>
    <row r="16" spans="1:9" ht="16.5" customHeight="1" x14ac:dyDescent="0.2">
      <c r="A16" s="60"/>
      <c r="B16" s="60"/>
      <c r="C16" s="60"/>
      <c r="D16" s="60"/>
      <c r="E16" s="60"/>
      <c r="F16" s="60"/>
      <c r="G16" s="60"/>
      <c r="H16" s="60"/>
      <c r="I16" s="60"/>
    </row>
    <row r="17" spans="1:9" ht="16.5" customHeight="1" x14ac:dyDescent="0.15">
      <c r="A17" s="65" t="str">
        <f>IF(手引き!$C$18="○","今般、一般乗用旅客自動車運送事業の運賃及び料金の設定をしたいので、","今般、一般乗用旅客自動車運送事業の運賃及び料金の変更をしたいので、")</f>
        <v>今般、一般乗用旅客自動車運送事業の運賃及び料金の変更をしたいので、</v>
      </c>
      <c r="B17" s="65"/>
      <c r="C17" s="65"/>
      <c r="D17" s="65"/>
      <c r="E17" s="65"/>
      <c r="F17" s="65"/>
      <c r="G17" s="65"/>
      <c r="H17" s="65"/>
      <c r="I17" s="65"/>
    </row>
    <row r="18" spans="1:9" ht="16.5" customHeight="1" x14ac:dyDescent="0.15">
      <c r="A18" s="65" t="s">
        <v>77</v>
      </c>
      <c r="B18" s="65"/>
      <c r="C18" s="65"/>
      <c r="D18" s="65"/>
      <c r="E18" s="65"/>
      <c r="F18" s="65"/>
      <c r="G18" s="65"/>
      <c r="H18" s="65"/>
      <c r="I18" s="65"/>
    </row>
    <row r="19" spans="1:9" ht="16.5" customHeight="1" x14ac:dyDescent="0.15">
      <c r="A19" s="65"/>
      <c r="B19" s="65"/>
      <c r="C19" s="65"/>
      <c r="D19" s="65"/>
      <c r="E19" s="65"/>
      <c r="F19" s="65"/>
      <c r="G19" s="65"/>
      <c r="H19" s="65"/>
      <c r="I19" s="65"/>
    </row>
    <row r="20" spans="1:9" ht="16.5" customHeight="1" x14ac:dyDescent="0.2">
      <c r="A20" s="62"/>
      <c r="B20" s="60"/>
      <c r="C20" s="60"/>
      <c r="D20" s="60"/>
      <c r="E20" s="60"/>
      <c r="F20" s="60"/>
      <c r="G20" s="60"/>
      <c r="H20" s="60"/>
      <c r="I20" s="60"/>
    </row>
    <row r="21" spans="1:9" ht="16.5" customHeight="1" x14ac:dyDescent="0.2">
      <c r="A21" s="60"/>
      <c r="B21" s="60"/>
      <c r="C21" s="60"/>
      <c r="D21" s="60"/>
      <c r="E21" s="66" t="s">
        <v>55</v>
      </c>
      <c r="F21" s="60"/>
      <c r="G21" s="60"/>
      <c r="H21" s="60"/>
      <c r="I21" s="60"/>
    </row>
    <row r="22" spans="1:9" ht="16.5" customHeight="1" x14ac:dyDescent="0.2">
      <c r="A22" s="60" t="s">
        <v>81</v>
      </c>
      <c r="B22" s="60"/>
      <c r="C22" s="60"/>
      <c r="D22" s="60"/>
      <c r="E22" s="60"/>
      <c r="F22" s="60"/>
      <c r="G22" s="60"/>
      <c r="H22" s="60"/>
      <c r="I22" s="60"/>
    </row>
    <row r="23" spans="1:9" ht="16.5" customHeight="1" x14ac:dyDescent="0.2">
      <c r="A23" s="60"/>
      <c r="B23" s="60"/>
      <c r="C23" s="60"/>
      <c r="D23" s="60"/>
      <c r="E23" s="60"/>
      <c r="F23" s="60"/>
      <c r="G23" s="60"/>
      <c r="H23" s="60"/>
      <c r="I23" s="60"/>
    </row>
    <row r="24" spans="1:9" ht="16.5" customHeight="1" x14ac:dyDescent="0.2">
      <c r="A24" s="60"/>
      <c r="B24" s="60"/>
      <c r="C24" s="60"/>
      <c r="D24" s="60"/>
      <c r="E24" s="60"/>
      <c r="F24" s="60"/>
      <c r="G24" s="60"/>
      <c r="H24" s="60"/>
      <c r="I24" s="60"/>
    </row>
    <row r="25" spans="1:9" ht="16.5" customHeight="1" x14ac:dyDescent="0.2">
      <c r="A25" s="60"/>
      <c r="B25" s="72" t="s">
        <v>114</v>
      </c>
      <c r="C25" s="516" t="str">
        <f>F5</f>
        <v/>
      </c>
      <c r="D25" s="516"/>
      <c r="E25" s="516"/>
      <c r="F25" s="516"/>
      <c r="G25" s="516"/>
      <c r="H25" s="516"/>
      <c r="I25" s="516"/>
    </row>
    <row r="26" spans="1:9" ht="16.5" customHeight="1" x14ac:dyDescent="0.2">
      <c r="A26" s="60"/>
      <c r="B26" s="72" t="s">
        <v>115</v>
      </c>
      <c r="C26" s="87" t="str">
        <f>F6</f>
        <v/>
      </c>
      <c r="D26" s="60"/>
      <c r="E26" s="60"/>
      <c r="F26" s="60"/>
      <c r="G26" s="60"/>
      <c r="H26" s="60"/>
      <c r="I26" s="60"/>
    </row>
    <row r="27" spans="1:9" ht="16.5" customHeight="1" x14ac:dyDescent="0.2">
      <c r="A27" s="60"/>
      <c r="B27" s="72" t="s">
        <v>116</v>
      </c>
      <c r="C27" s="87" t="str">
        <f>F7</f>
        <v/>
      </c>
      <c r="D27" s="60"/>
      <c r="E27" s="60"/>
      <c r="F27" s="60"/>
      <c r="G27" s="60"/>
      <c r="H27" s="60"/>
      <c r="I27" s="60"/>
    </row>
    <row r="28" spans="1:9" ht="16.5" customHeight="1" x14ac:dyDescent="0.2">
      <c r="A28" s="60"/>
      <c r="B28" s="62"/>
      <c r="C28" s="60"/>
      <c r="D28" s="60"/>
      <c r="E28" s="60"/>
      <c r="F28" s="60"/>
      <c r="G28" s="60"/>
      <c r="H28" s="60"/>
      <c r="I28" s="60"/>
    </row>
    <row r="29" spans="1:9" ht="16.5" customHeight="1" x14ac:dyDescent="0.2">
      <c r="A29" s="60"/>
      <c r="B29" s="60"/>
      <c r="C29" s="60"/>
      <c r="D29" s="60"/>
      <c r="E29" s="60"/>
      <c r="F29" s="60"/>
      <c r="G29" s="60"/>
      <c r="H29" s="60"/>
      <c r="I29" s="60"/>
    </row>
    <row r="30" spans="1:9" ht="16.5" customHeight="1" x14ac:dyDescent="0.2">
      <c r="A30" s="62" t="s">
        <v>80</v>
      </c>
      <c r="B30" s="60"/>
      <c r="C30" s="60"/>
      <c r="D30" s="60"/>
      <c r="E30" s="60"/>
      <c r="F30" s="60"/>
      <c r="G30" s="60"/>
      <c r="H30" s="60"/>
      <c r="I30" s="60"/>
    </row>
    <row r="31" spans="1:9" ht="16.5" customHeight="1" x14ac:dyDescent="0.2">
      <c r="B31" s="60"/>
      <c r="C31" s="60"/>
      <c r="D31" s="60"/>
      <c r="E31" s="60"/>
      <c r="F31" s="60"/>
      <c r="G31" s="60"/>
      <c r="H31" s="60"/>
      <c r="I31" s="60"/>
    </row>
    <row r="32" spans="1:9" ht="16.5" customHeight="1" x14ac:dyDescent="0.2">
      <c r="B32" s="62" t="str">
        <f>IFERROR(手引き!$J$40,"")</f>
        <v/>
      </c>
      <c r="C32" s="60"/>
      <c r="D32" s="60"/>
      <c r="E32" s="60"/>
      <c r="F32" s="60"/>
      <c r="G32" s="60"/>
      <c r="H32" s="60"/>
      <c r="I32" s="60"/>
    </row>
    <row r="33" spans="1:9" ht="16.5" customHeight="1" x14ac:dyDescent="0.2">
      <c r="A33" s="60"/>
      <c r="B33" s="60"/>
      <c r="C33" s="60"/>
      <c r="D33" s="60"/>
      <c r="E33" s="60"/>
      <c r="F33" s="60"/>
      <c r="G33" s="60"/>
      <c r="H33" s="65"/>
      <c r="I33" s="65"/>
    </row>
    <row r="34" spans="1:9" ht="16.5" customHeight="1" x14ac:dyDescent="0.2">
      <c r="A34" s="62" t="s">
        <v>82</v>
      </c>
      <c r="B34" s="60"/>
      <c r="C34" s="60"/>
      <c r="D34" s="60"/>
      <c r="E34" s="60"/>
      <c r="F34" s="60"/>
      <c r="G34" s="60"/>
      <c r="H34" s="65"/>
      <c r="I34" s="65"/>
    </row>
    <row r="35" spans="1:9" ht="16.5" customHeight="1" x14ac:dyDescent="0.2">
      <c r="A35" s="62"/>
      <c r="B35" s="60"/>
      <c r="C35" s="60"/>
      <c r="D35" s="60"/>
      <c r="E35" s="60"/>
      <c r="F35" s="60"/>
      <c r="G35" s="60"/>
      <c r="H35" s="65"/>
      <c r="I35" s="65"/>
    </row>
    <row r="36" spans="1:9" ht="16.5" customHeight="1" x14ac:dyDescent="0.2">
      <c r="A36" s="60"/>
      <c r="B36" s="62" t="s">
        <v>57</v>
      </c>
      <c r="C36" s="60"/>
      <c r="D36" s="60"/>
      <c r="E36" s="60"/>
      <c r="F36" s="60"/>
      <c r="G36" s="60"/>
      <c r="H36" s="65"/>
      <c r="I36" s="65"/>
    </row>
    <row r="37" spans="1:9" ht="16.5" customHeight="1" x14ac:dyDescent="0.2">
      <c r="A37" s="60"/>
      <c r="B37" s="62"/>
      <c r="C37" s="60"/>
      <c r="D37" s="60"/>
      <c r="E37" s="60"/>
      <c r="F37" s="60"/>
      <c r="G37" s="60"/>
      <c r="H37" s="65"/>
      <c r="I37" s="65"/>
    </row>
    <row r="38" spans="1:9" ht="16.5" customHeight="1" x14ac:dyDescent="0.2">
      <c r="A38" s="60" t="s">
        <v>56</v>
      </c>
      <c r="B38" s="60"/>
      <c r="C38" s="60"/>
      <c r="D38" s="60"/>
      <c r="E38" s="60"/>
      <c r="F38" s="60"/>
      <c r="G38" s="60"/>
      <c r="H38" s="60"/>
      <c r="I38" s="60"/>
    </row>
    <row r="39" spans="1:9" ht="16.5" customHeight="1" x14ac:dyDescent="0.2">
      <c r="A39" s="60" t="str">
        <f>IF(手引き!C18="○","","　４．変更を必要とする理由")</f>
        <v>　４．変更を必要とする理由</v>
      </c>
      <c r="B39" s="62"/>
      <c r="C39" s="60"/>
      <c r="D39" s="60"/>
      <c r="E39" s="60"/>
      <c r="F39" s="60"/>
      <c r="G39" s="60"/>
      <c r="H39" s="60"/>
      <c r="I39" s="60"/>
    </row>
    <row r="40" spans="1:9" ht="16.5" customHeight="1" x14ac:dyDescent="0.2">
      <c r="A40" s="60"/>
      <c r="B40" s="60"/>
      <c r="C40" s="60"/>
      <c r="D40" s="60"/>
      <c r="E40" s="60"/>
      <c r="F40" s="60"/>
      <c r="G40" s="60"/>
      <c r="H40" s="60"/>
      <c r="I40" s="60"/>
    </row>
    <row r="41" spans="1:9" ht="16.5" customHeight="1" x14ac:dyDescent="0.2">
      <c r="A41" s="60"/>
      <c r="B41" s="60" t="str">
        <f>IF(手引き!C18="○","",IF(手引き!E20="","",手引き!E20))</f>
        <v/>
      </c>
      <c r="C41" s="60"/>
      <c r="D41" s="60"/>
      <c r="E41" s="60"/>
      <c r="F41" s="60"/>
      <c r="G41" s="60"/>
      <c r="H41" s="60"/>
      <c r="I41" s="60"/>
    </row>
    <row r="42" spans="1:9" ht="16.5" customHeight="1" x14ac:dyDescent="0.2">
      <c r="A42" s="60"/>
      <c r="B42" s="60"/>
      <c r="C42" s="60"/>
      <c r="D42" s="60"/>
      <c r="E42" s="60"/>
      <c r="F42" s="60"/>
      <c r="G42" s="60"/>
      <c r="H42" s="60"/>
      <c r="I42" s="60"/>
    </row>
    <row r="43" spans="1:9" ht="16.5" customHeight="1" x14ac:dyDescent="0.2">
      <c r="A43" s="74" t="s">
        <v>113</v>
      </c>
    </row>
    <row r="44" spans="1:9" ht="16.5" customHeight="1" x14ac:dyDescent="0.2">
      <c r="B44" s="61" t="str">
        <f>IF(手引き!C19="○","現行の認可書の写し",IF(B45="","無",""))</f>
        <v>無</v>
      </c>
    </row>
    <row r="45" spans="1:9" ht="16.5" customHeight="1" x14ac:dyDescent="0.2">
      <c r="B45" s="61" t="str">
        <f>IF(手引き!B63="設定する","訪問介護事業所等の指定書等の写し","")</f>
        <v/>
      </c>
    </row>
    <row r="46" spans="1:9" ht="16.5" customHeight="1" x14ac:dyDescent="0.2">
      <c r="E46" s="92" t="s">
        <v>141</v>
      </c>
    </row>
    <row r="47" spans="1:9" ht="16.5" customHeight="1" x14ac:dyDescent="0.2">
      <c r="E47" s="61" t="str">
        <f ca="1">IFERROR(CONCATENATE(手引き!$M$26,手引き!$Q$24,手引き!$T$36,手引き!$T$40,手引き!$Q$43,手引き!$Q$44,手引き!$Q$49,手引き!$Q$51,手引き!$Q$52,手引き!$Q$53,手引き!$Q$54,手引き!$Q$55,手引き!$Q$58,手引き!$Q$60,手引き!$Q$69,手引き!$Q$74),"")</f>
        <v/>
      </c>
    </row>
    <row r="48" spans="1:9" ht="16.5" customHeight="1" x14ac:dyDescent="0.2">
      <c r="E48" s="119" t="str">
        <f>手引き!I2</f>
        <v>※令和8年7月更新様式</v>
      </c>
    </row>
    <row r="49" ht="16.5" customHeight="1" x14ac:dyDescent="0.2"/>
  </sheetData>
  <sheetProtection algorithmName="SHA-512" hashValue="QK9waDnaM0xg8ZgOUTq+ueMNqtQ9tmeGiU5D7CtCZ0O7LI8YZzGnzNnamFZ8sJ+y/6Xe+7WmF73ik/eps732Vw==" saltValue="CLCNWMoc7v0YAHHdGD3i6A==" spinCount="100000" sheet="1" objects="1" scenarios="1"/>
  <mergeCells count="8">
    <mergeCell ref="G1:I1"/>
    <mergeCell ref="C25:I25"/>
    <mergeCell ref="F5:I5"/>
    <mergeCell ref="F6:I6"/>
    <mergeCell ref="F8:I8"/>
    <mergeCell ref="F10:I10"/>
    <mergeCell ref="F9:I9"/>
    <mergeCell ref="F7:I7"/>
  </mergeCells>
  <phoneticPr fontId="1"/>
  <pageMargins left="0.70866141732283472" right="0.70866141732283472" top="0.74803149606299213" bottom="0.74803149606299213" header="0.31496062992125984" footer="0.31496062992125984"/>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R181"/>
  <sheetViews>
    <sheetView view="pageBreakPreview" zoomScale="115" zoomScaleNormal="70" zoomScaleSheetLayoutView="115" workbookViewId="0">
      <selection activeCell="D81" sqref="D81"/>
    </sheetView>
  </sheetViews>
  <sheetFormatPr defaultColWidth="4.109375" defaultRowHeight="18" customHeight="1" x14ac:dyDescent="0.2"/>
  <cols>
    <col min="1" max="1" width="7.44140625" style="52" bestFit="1" customWidth="1"/>
    <col min="2" max="2" width="4.109375" style="52" customWidth="1"/>
    <col min="3" max="3" width="5.88671875" style="52" bestFit="1" customWidth="1"/>
    <col min="4" max="4" width="5.21875" style="52" customWidth="1"/>
    <col min="5" max="7" width="4.109375" style="52"/>
    <col min="8" max="8" width="5.44140625" style="52" customWidth="1"/>
    <col min="9" max="17" width="4.109375" style="52"/>
    <col min="18" max="18" width="4.109375" style="52" customWidth="1"/>
    <col min="19" max="19" width="6.21875" style="52" customWidth="1"/>
    <col min="20" max="20" width="4.109375" style="52" customWidth="1"/>
    <col min="21" max="22" width="4.109375" style="52" hidden="1" customWidth="1"/>
    <col min="23" max="23" width="9.44140625" style="52" hidden="1" customWidth="1"/>
    <col min="24" max="24" width="8.44140625" style="52" hidden="1" customWidth="1"/>
    <col min="25" max="25" width="18.44140625" style="52" hidden="1" customWidth="1"/>
    <col min="26" max="26" width="22.77734375" style="52" hidden="1" customWidth="1"/>
    <col min="27" max="27" width="4.109375" style="52" hidden="1" customWidth="1"/>
    <col min="28" max="28" width="9.44140625" style="52" hidden="1" customWidth="1"/>
    <col min="29" max="29" width="11.6640625" style="52" hidden="1" customWidth="1"/>
    <col min="30" max="30" width="18.6640625" style="52" hidden="1" customWidth="1"/>
    <col min="31" max="39" width="4.109375" style="52" hidden="1" customWidth="1"/>
    <col min="40" max="53" width="4.109375" style="52" customWidth="1"/>
    <col min="54" max="16384" width="4.109375" style="52"/>
  </cols>
  <sheetData>
    <row r="1" spans="1:36" ht="18" customHeight="1" x14ac:dyDescent="0.2">
      <c r="A1" s="51" t="s">
        <v>47</v>
      </c>
      <c r="Z1" s="91" t="e">
        <f>INDEX(手引き!Z:Z,MATCH($V$3,手引き!$V:$V,0)-2)</f>
        <v>#N/A</v>
      </c>
    </row>
    <row r="2" spans="1:36" ht="13.2" x14ac:dyDescent="0.2">
      <c r="B2" s="52" t="s">
        <v>51</v>
      </c>
      <c r="X2" s="91" t="e">
        <f>INDEX(手引き!X:X,MATCH($V$3,手引き!$V:$V,0)-1)</f>
        <v>#N/A</v>
      </c>
      <c r="Z2" s="91" t="e">
        <f>INDEX(手引き!Z:Z,MATCH($V$3,手引き!$V:$V,0)-1)</f>
        <v>#N/A</v>
      </c>
      <c r="AC2" s="91" t="e">
        <f>INDEX(手引き!AC:AC,MATCH($V$3,手引き!$V:$V,0)-1)</f>
        <v>#N/A</v>
      </c>
      <c r="AD2" s="91" t="e">
        <f>INDEX(手引き!AD:AD,MATCH($V$3,手引き!$V:$V,0)-1)</f>
        <v>#N/A</v>
      </c>
      <c r="AF2" s="91" t="e">
        <f>INDEX(手引き!AF:AF,MATCH($V$3,手引き!$V:$V,0)-1)</f>
        <v>#N/A</v>
      </c>
      <c r="AH2" s="91" t="e">
        <f>INDEX(手引き!AH:AH,MATCH($V$3,手引き!$V:$V,0)-1)</f>
        <v>#N/A</v>
      </c>
      <c r="AJ2" s="91" t="e">
        <f>INDEX(手引き!AJ:AJ,MATCH($V$3,手引き!$V:$V,0)-1)</f>
        <v>#N/A</v>
      </c>
    </row>
    <row r="3" spans="1:36" ht="12" customHeight="1" x14ac:dyDescent="0.2">
      <c r="V3" s="91" t="e">
        <f>手引き!M26</f>
        <v>#N/A</v>
      </c>
      <c r="W3" s="52" t="e">
        <f>INDEX(手引き!W:W,MATCH($V$3,手引き!$V:$V,0))</f>
        <v>#N/A</v>
      </c>
      <c r="X3" s="91" t="e">
        <f>INDEX(手引き!X:X,MATCH($V$3,手引き!$V:$V,0))</f>
        <v>#N/A</v>
      </c>
      <c r="Y3" s="91" t="e">
        <f>INDEX(手引き!Y:Y,MATCH($V$3,手引き!$V:$V,0))</f>
        <v>#N/A</v>
      </c>
      <c r="Z3" s="91" t="e">
        <f>INDEX(手引き!Z:Z,MATCH($V$3,手引き!$V:$V,0))</f>
        <v>#N/A</v>
      </c>
      <c r="AA3" s="91"/>
      <c r="AB3" s="91" t="e">
        <f>INDEX(手引き!AB:AB,MATCH($V$3,手引き!$V:$V,0))</f>
        <v>#N/A</v>
      </c>
      <c r="AC3" s="91" t="e">
        <f>INDEX(手引き!AC:AC,MATCH($V$3,手引き!$V:$V,0))</f>
        <v>#N/A</v>
      </c>
      <c r="AD3" s="91" t="e">
        <f>INDEX(手引き!AD:AD,MATCH($V$3,手引き!$V:$V,0))</f>
        <v>#N/A</v>
      </c>
      <c r="AE3" s="91" t="e">
        <f>INDEX(手引き!AE:AE,MATCH($V$3,手引き!$V:$V,0))</f>
        <v>#N/A</v>
      </c>
      <c r="AF3" s="91"/>
    </row>
    <row r="4" spans="1:36" ht="18" customHeight="1" x14ac:dyDescent="0.2">
      <c r="A4" s="58" t="s">
        <v>280</v>
      </c>
      <c r="V4" s="91"/>
      <c r="W4" s="91" t="e">
        <f>INDEX(手引き!W:W,MATCH($V$3,手引き!$V:$V,0)+1)</f>
        <v>#N/A</v>
      </c>
      <c r="X4" s="91" t="e">
        <f>INDEX(手引き!X:X,MATCH($V$3,手引き!$V:$V,0)+1)</f>
        <v>#N/A</v>
      </c>
      <c r="Y4" s="91" t="e">
        <f>INDEX(手引き!Y:Y,MATCH($V$3,手引き!$V:$V,0)+1)</f>
        <v>#N/A</v>
      </c>
      <c r="Z4" s="91" t="e">
        <f>INDEX(手引き!Z:Z,MATCH($V$3,手引き!$V:$V,0)+1)</f>
        <v>#N/A</v>
      </c>
      <c r="AB4" s="91" t="e">
        <f>INDEX(手引き!AB:AB,MATCH($V$3,手引き!$V:$V,0)+1)</f>
        <v>#N/A</v>
      </c>
      <c r="AC4" s="91" t="e">
        <f>INDEX(手引き!AC:AC,MATCH($V$3,手引き!$V:$V,0)+1)</f>
        <v>#N/A</v>
      </c>
      <c r="AD4" s="91" t="e">
        <f>INDEX(手引き!AD:AD,MATCH($V$3,手引き!$V:$V,0)+1)</f>
        <v>#N/A</v>
      </c>
      <c r="AE4" s="91" t="e">
        <f>INDEX(手引き!AE:AE,MATCH($V$3,手引き!$V:$V,0)+1)</f>
        <v>#N/A</v>
      </c>
    </row>
    <row r="5" spans="1:36" ht="15" customHeight="1" x14ac:dyDescent="0.2">
      <c r="A5" s="51"/>
      <c r="B5" s="106" t="e">
        <f>手引き!$J$40</f>
        <v>#N/A</v>
      </c>
      <c r="V5" s="91"/>
      <c r="W5" s="91" t="e">
        <f>INDEX(手引き!W:W,MATCH($V$3,手引き!$V:$V,0)+2)</f>
        <v>#N/A</v>
      </c>
      <c r="X5" s="91" t="e">
        <f>INDEX(手引き!X:X,MATCH($V$3,手引き!$V:$V,0)+2)</f>
        <v>#N/A</v>
      </c>
      <c r="Y5" s="91" t="e">
        <f>INDEX(手引き!Y:Y,MATCH($V$3,手引き!$V:$V,0)+2)</f>
        <v>#N/A</v>
      </c>
      <c r="Z5" s="91" t="e">
        <f>INDEX(手引き!Z:Z,MATCH($V$3,手引き!$V:$V,0)+2)</f>
        <v>#N/A</v>
      </c>
      <c r="AB5" s="91" t="e">
        <f>INDEX(手引き!AB:AB,MATCH($V$3,手引き!$V:$V,0)+2)</f>
        <v>#N/A</v>
      </c>
      <c r="AC5" s="91" t="e">
        <f>INDEX(手引き!AC:AC,MATCH($V$3,手引き!$V:$V,0)+2)</f>
        <v>#N/A</v>
      </c>
      <c r="AD5" s="91" t="e">
        <f>INDEX(手引き!AD:AD,MATCH($V$3,手引き!$V:$V,0)+2)</f>
        <v>#N/A</v>
      </c>
      <c r="AE5" s="91" t="e">
        <f>INDEX(手引き!AE:AE,MATCH($V$3,手引き!$V:$V,0)+2)</f>
        <v>#N/A</v>
      </c>
    </row>
    <row r="6" spans="1:36" ht="12" customHeight="1" x14ac:dyDescent="0.2">
      <c r="A6" s="51" t="s">
        <v>43</v>
      </c>
      <c r="V6" s="91"/>
      <c r="W6" s="91" t="e">
        <f>IF(INDEX(手引き!W:W,MATCH($V$3,手引き!$V:$V,0)+3)=0,"",INDEX(手引き!W:W,MATCH($V$3,手引き!$V:$V,0)+3))</f>
        <v>#N/A</v>
      </c>
      <c r="X6" s="91" t="e">
        <f>IF(INDEX(手引き!X:X,MATCH($V$3,手引き!$V:$V,0)+3)=0,"",INDEX(手引き!X:X,MATCH($V$3,手引き!$V:$V,0)+3))</f>
        <v>#N/A</v>
      </c>
      <c r="Y6" s="91" t="e">
        <f>IF(INDEX(手引き!Y:Y,MATCH($V$3,手引き!$V:$V,0)+3)=0,"",INDEX(手引き!Y:Y,MATCH($V$3,手引き!$V:$V,0)+3))</f>
        <v>#N/A</v>
      </c>
      <c r="Z6" s="91" t="e">
        <f>IF(INDEX(手引き!Z:Z,MATCH($V$3,手引き!$V:$V,0)+3)=0,"",INDEX(手引き!Z:Z,MATCH($V$3,手引き!$V:$V,0)+3))</f>
        <v>#N/A</v>
      </c>
      <c r="AB6" s="91" t="e">
        <f>IF(INDEX(手引き!AB:AB,MATCH($V$3,手引き!$V:$V,0)+3)=0,"",INDEX(手引き!AB:AB,MATCH($V$3,手引き!$V:$V,0)+3))</f>
        <v>#N/A</v>
      </c>
      <c r="AC6" s="91" t="e">
        <f>IF(INDEX(手引き!AC:AC,MATCH($V$3,手引き!$V:$V,0)+3)=0,"",INDEX(手引き!AC:AC,MATCH($V$3,手引き!$V:$V,0)+3))</f>
        <v>#N/A</v>
      </c>
      <c r="AD6" s="91" t="e">
        <f>IF(INDEX(手引き!AD:AD,MATCH($V$3,手引き!$V:$V,0)+3)=0,"",INDEX(手引き!AD:AD,MATCH($V$3,手引き!$V:$V,0)+3))</f>
        <v>#N/A</v>
      </c>
      <c r="AE6" s="91" t="e">
        <f>IF(INDEX(手引き!AE:AE,MATCH($V$3,手引き!$V:$V,0)+3)=0,"",INDEX(手引き!AE:AE,MATCH($V$3,手引き!$V:$V,0)+3))</f>
        <v>#N/A</v>
      </c>
    </row>
    <row r="7" spans="1:36" ht="15" customHeight="1" x14ac:dyDescent="0.2">
      <c r="A7" s="59" t="s">
        <v>281</v>
      </c>
      <c r="Q7" s="52" t="str">
        <f>IF(手引き!C24="○","設定しない","")</f>
        <v/>
      </c>
      <c r="W7" s="91" t="e">
        <f>INDEX(手引き!W:W,MATCH($V$3,手引き!$V:$V,0)+4)</f>
        <v>#N/A</v>
      </c>
      <c r="X7" s="91" t="e">
        <f>INDEX(手引き!X:X,MATCH($V$3,手引き!$V:$V,0)+4)</f>
        <v>#N/A</v>
      </c>
    </row>
    <row r="8" spans="1:36" ht="12.75" customHeight="1" x14ac:dyDescent="0.2">
      <c r="A8" s="51" t="s">
        <v>41</v>
      </c>
      <c r="B8" s="52" t="str">
        <f>IF($Q$7="設定しない","","初乗運賃")</f>
        <v>初乗運賃</v>
      </c>
      <c r="X8" s="52" t="e">
        <f>INDEX(手引き!X:X,MATCH($V$3,手引き!$V:$V,0)+5)</f>
        <v>#N/A</v>
      </c>
    </row>
    <row r="9" spans="1:36" ht="12.75" customHeight="1" x14ac:dyDescent="0.2">
      <c r="A9" s="51"/>
      <c r="D9" s="52" t="e">
        <f ca="1">IF($Q$7="設定しない","",IF(INDIRECT($Y$3)="無","",$X$3))</f>
        <v>#N/A</v>
      </c>
      <c r="H9" s="52" t="e">
        <f ca="1">IF($Q$7="設定しない","",IF(INDIRECT($Y$3)="無","",$Z$2))</f>
        <v>#N/A</v>
      </c>
      <c r="I9" s="52" t="e">
        <f ca="1">IF($Q$7="設定しない","",IF(INDIRECT($Y$3)="無","","キロメートルまで"))</f>
        <v>#N/A</v>
      </c>
      <c r="S9" s="52" t="e">
        <f ca="1">IF($Q$7="設定しない","",IF(INDIRECT($Y$3)="無","",VLOOKUP("○",INDIRECT($Z$3),3,0)))</f>
        <v>#N/A</v>
      </c>
      <c r="T9" s="52" t="e">
        <f ca="1">IF($Q$7="設定しない","",IF(INDIRECT($Y$3)="無","","円"))</f>
        <v>#N/A</v>
      </c>
    </row>
    <row r="10" spans="1:36" ht="12.75" customHeight="1" x14ac:dyDescent="0.2">
      <c r="A10" s="51"/>
      <c r="D10" s="52" t="e">
        <f ca="1">IF($Q$7="設定しない","",IF(INDIRECT($Y$4)="無","",$X$4))</f>
        <v>#N/A</v>
      </c>
      <c r="H10" s="52" t="e">
        <f ca="1">IF($Q$7="設定しない","",IF(INDIRECT($Y$4)="無","",$Z$2))</f>
        <v>#N/A</v>
      </c>
      <c r="I10" s="52" t="e">
        <f ca="1">IF($Q$7="設定しない","",IF(INDIRECT($Y$4)="無","","キロメートルまで"))</f>
        <v>#N/A</v>
      </c>
      <c r="S10" s="52" t="e">
        <f ca="1">IF($Q$7="設定しない","",IF(INDIRECT($Y$4)="無","",VLOOKUP("○",INDIRECT($Z$4),3,0)))</f>
        <v>#N/A</v>
      </c>
      <c r="T10" s="52" t="e">
        <f ca="1">IF($Q$7="設定しない","",IF(INDIRECT($Y$4)="無","","円"))</f>
        <v>#N/A</v>
      </c>
    </row>
    <row r="11" spans="1:36" ht="12.75" customHeight="1" x14ac:dyDescent="0.2">
      <c r="A11" s="51"/>
      <c r="D11" s="52" t="e">
        <f ca="1">IF($Q$7="設定しない","",IF(INDIRECT($Y$5)="無","",$X$5))</f>
        <v>#N/A</v>
      </c>
      <c r="H11" s="52" t="e">
        <f ca="1">IF($Q$7="設定しない","",IF(INDIRECT($Y$5)="無","",$Z$2))</f>
        <v>#N/A</v>
      </c>
      <c r="I11" s="52" t="e">
        <f ca="1">IF($Q$7="設定しない","",IF(INDIRECT($Y$5)="無","","キロメートルまで"))</f>
        <v>#N/A</v>
      </c>
      <c r="S11" s="52" t="e">
        <f ca="1">IF($Q$7="設定しない","",IF(INDIRECT($Y$5)="無","",VLOOKUP("○",INDIRECT($Z$5),3,0)))</f>
        <v>#N/A</v>
      </c>
      <c r="T11" s="52" t="e">
        <f ca="1">IF($Q$7="設定しない","",IF(INDIRECT($Y$5)="無","","円"))</f>
        <v>#N/A</v>
      </c>
      <c r="W11" s="91"/>
      <c r="X11" s="91"/>
      <c r="Y11" s="91"/>
      <c r="Z11" s="91"/>
      <c r="AA11" s="91"/>
      <c r="AB11" s="91"/>
      <c r="AC11" s="91"/>
      <c r="AD11" s="91"/>
      <c r="AE11" s="91"/>
      <c r="AF11" s="91"/>
      <c r="AG11" s="91"/>
      <c r="AH11" s="91"/>
      <c r="AI11" s="91"/>
      <c r="AJ11" s="91"/>
    </row>
    <row r="12" spans="1:36" ht="12.75" customHeight="1" x14ac:dyDescent="0.2">
      <c r="A12" s="51"/>
      <c r="D12" s="52" t="e">
        <f ca="1">IF($Q$7="設定しない","",IF($X$6="","",IF(INDIRECT($Y$6)="無","",$X$6)))</f>
        <v>#N/A</v>
      </c>
      <c r="H12" s="52" t="e">
        <f ca="1">IF($Q$7="設定しない","",IF($X$6="","",IF(INDIRECT($Y$6)="無","",$Z$2)))</f>
        <v>#N/A</v>
      </c>
      <c r="I12" s="52" t="e">
        <f ca="1">IF($Q$7="設定しない","",IF($X$6="","",IF(INDIRECT($Y$6)="無","","キロメートルまで")))</f>
        <v>#N/A</v>
      </c>
      <c r="S12" s="52" t="e">
        <f ca="1">IF($Q$7="設定しない","",IF($X$6="","",IF(INDIRECT($Y$6)="無","",VLOOKUP("○",INDIRECT($Z$6),3,0))))</f>
        <v>#N/A</v>
      </c>
      <c r="T12" s="52" t="e">
        <f ca="1">IF($Q$7="設定しない","",IF($X$6="","",IF(INDIRECT($Y$6)="無","","円")))</f>
        <v>#N/A</v>
      </c>
      <c r="W12" s="91"/>
      <c r="X12" s="91"/>
      <c r="Y12" s="91"/>
      <c r="Z12" s="91"/>
      <c r="AA12" s="91"/>
      <c r="AB12" s="91"/>
      <c r="AC12" s="91"/>
      <c r="AD12" s="91"/>
      <c r="AE12" s="91"/>
      <c r="AF12" s="91"/>
      <c r="AG12" s="91"/>
      <c r="AH12" s="91"/>
      <c r="AI12" s="91"/>
      <c r="AJ12" s="91"/>
    </row>
    <row r="13" spans="1:36" ht="12.75" customHeight="1" x14ac:dyDescent="0.2">
      <c r="A13" s="51"/>
      <c r="W13" s="91"/>
      <c r="X13" s="91"/>
      <c r="Y13" s="91"/>
      <c r="Z13" s="91"/>
      <c r="AA13" s="91"/>
      <c r="AB13" s="91"/>
      <c r="AC13" s="91"/>
      <c r="AD13" s="91"/>
      <c r="AE13" s="91"/>
      <c r="AF13" s="91"/>
      <c r="AG13" s="91"/>
      <c r="AH13" s="91"/>
      <c r="AI13" s="91"/>
      <c r="AJ13" s="91"/>
    </row>
    <row r="14" spans="1:36" ht="12.75" customHeight="1" x14ac:dyDescent="0.2">
      <c r="A14" s="51"/>
      <c r="B14" s="52" t="str">
        <f>IF(Q7="設定しない","","加算運賃")</f>
        <v>加算運賃</v>
      </c>
      <c r="V14" s="91"/>
      <c r="W14" s="91"/>
      <c r="X14" s="91"/>
      <c r="Y14" s="91"/>
      <c r="Z14" s="91"/>
      <c r="AA14" s="91"/>
      <c r="AB14" s="91"/>
      <c r="AC14" s="91"/>
      <c r="AD14" s="91"/>
      <c r="AE14" s="91"/>
      <c r="AF14" s="91"/>
      <c r="AG14" s="91"/>
      <c r="AH14" s="91"/>
      <c r="AI14" s="91"/>
      <c r="AJ14" s="91"/>
    </row>
    <row r="15" spans="1:36" ht="12.75" customHeight="1" x14ac:dyDescent="0.2">
      <c r="A15" s="51"/>
      <c r="D15" s="52" t="e">
        <f ca="1">IF($Q$7="設定しない","",IF(INDIRECT($Y$3)="無","",$X$3))</f>
        <v>#N/A</v>
      </c>
      <c r="H15" s="52" t="e">
        <f ca="1">IF($Q$7="設定しない","",IF(INDIRECT($Y$3)="無","",VLOOKUP("○",INDIRECT($Z$3),5,0)))</f>
        <v>#N/A</v>
      </c>
      <c r="I15" s="52" t="e">
        <f ca="1">IF($Q$7="設定しない","",IF(INDIRECT($Y$3)="無","","メートルまでごとに"))</f>
        <v>#N/A</v>
      </c>
      <c r="S15" s="52" t="e">
        <f ca="1">IF($Q$7="設定しない","",IF(INDIRECT($Y$3)="無","",VLOOKUP("○",INDIRECT($Z$3),7,0)))</f>
        <v>#N/A</v>
      </c>
      <c r="T15" s="52" t="e">
        <f ca="1">IF($Q$7="設定しない","",IF(INDIRECT($Y$3)="無","","円"))</f>
        <v>#N/A</v>
      </c>
      <c r="V15" s="91"/>
      <c r="W15" s="91"/>
      <c r="X15" s="91"/>
      <c r="Y15" s="91"/>
      <c r="Z15" s="91"/>
      <c r="AA15" s="91"/>
      <c r="AB15" s="91"/>
      <c r="AC15" s="91"/>
      <c r="AD15" s="91"/>
      <c r="AE15" s="91"/>
      <c r="AF15" s="91"/>
      <c r="AG15" s="91"/>
      <c r="AH15" s="91"/>
      <c r="AI15" s="91"/>
      <c r="AJ15" s="91"/>
    </row>
    <row r="16" spans="1:36" ht="12.75" customHeight="1" x14ac:dyDescent="0.2">
      <c r="A16" s="51"/>
      <c r="D16" s="52" t="e">
        <f ca="1">IF($Q$7="設定しない","",IF(INDIRECT($Y$4)="無","",$X$4))</f>
        <v>#N/A</v>
      </c>
      <c r="H16" s="52" t="e">
        <f ca="1">IF($Q$7="設定しない","",IF(INDIRECT($Y$4)="無","",VLOOKUP("○",INDIRECT($Z$4),5,0)))</f>
        <v>#N/A</v>
      </c>
      <c r="I16" s="52" t="e">
        <f ca="1">IF($Q$7="設定しない","",IF(INDIRECT($Y$4)="無","","メートルまでごとに"))</f>
        <v>#N/A</v>
      </c>
      <c r="S16" s="52" t="e">
        <f ca="1">IF($Q$7="設定しない","",IF(INDIRECT($Y$4)="無","",VLOOKUP("○",INDIRECT($Z$4),7,0)))</f>
        <v>#N/A</v>
      </c>
      <c r="T16" s="52" t="e">
        <f ca="1">IF($Q$7="設定しない","",IF(INDIRECT($Y$4)="無","","円"))</f>
        <v>#N/A</v>
      </c>
      <c r="V16" s="91"/>
      <c r="W16" s="91"/>
      <c r="X16" s="91"/>
      <c r="Y16" s="91"/>
      <c r="Z16" s="91"/>
      <c r="AA16" s="91"/>
      <c r="AB16" s="91"/>
      <c r="AC16" s="91"/>
      <c r="AD16" s="91"/>
      <c r="AE16" s="91"/>
      <c r="AF16" s="91"/>
      <c r="AG16" s="91"/>
      <c r="AH16" s="91"/>
      <c r="AI16" s="91"/>
      <c r="AJ16" s="91"/>
    </row>
    <row r="17" spans="1:36" ht="12.75" customHeight="1" x14ac:dyDescent="0.2">
      <c r="A17" s="51"/>
      <c r="D17" s="52" t="e">
        <f ca="1">IF($Q$7="設定しない","",IF(INDIRECT($Y$5)="無","",$X$5))</f>
        <v>#N/A</v>
      </c>
      <c r="H17" s="52" t="e">
        <f ca="1">IF($Q$7="設定しない","",IF(INDIRECT($Y$5)="無","",VLOOKUP("○",INDIRECT($Z$5),5,0)))</f>
        <v>#N/A</v>
      </c>
      <c r="I17" s="52" t="e">
        <f ca="1">IF($Q$7="設定しない","",IF(INDIRECT($Y$5)="無","","メートルまでごとに"))</f>
        <v>#N/A</v>
      </c>
      <c r="S17" s="52" t="e">
        <f ca="1">IF($Q$7="設定しない","",IF(INDIRECT($Y$5)="無","",VLOOKUP("○",INDIRECT($Z$5),7,0)))</f>
        <v>#N/A</v>
      </c>
      <c r="T17" s="52" t="e">
        <f ca="1">IF($Q$7="設定しない","",IF(INDIRECT($Y$5)="無","","円"))</f>
        <v>#N/A</v>
      </c>
      <c r="W17" s="91"/>
      <c r="X17" s="91"/>
      <c r="Y17" s="91"/>
      <c r="Z17" s="91"/>
      <c r="AA17" s="91"/>
      <c r="AB17" s="91"/>
      <c r="AC17" s="91"/>
      <c r="AD17" s="91"/>
      <c r="AE17" s="91"/>
      <c r="AF17" s="91"/>
      <c r="AG17" s="91"/>
      <c r="AH17" s="91"/>
      <c r="AI17" s="91"/>
      <c r="AJ17" s="91"/>
    </row>
    <row r="18" spans="1:36" ht="12.75" customHeight="1" x14ac:dyDescent="0.2">
      <c r="A18" s="51"/>
      <c r="D18" s="52" t="e">
        <f ca="1">IF($Q$7="設定しない","",IF($X$6="","",IF(INDIRECT($Y$6)="無","",$X$6)))</f>
        <v>#N/A</v>
      </c>
      <c r="H18" s="52" t="e">
        <f ca="1">IF($Q$7="設定しない","",IF($X$6="","",IF(INDIRECT($Y$6)="無","",VLOOKUP("○",INDIRECT($Z$6),5,0))))</f>
        <v>#N/A</v>
      </c>
      <c r="I18" s="52" t="e">
        <f ca="1">IF($Q$7="設定しない","",IF($X$6="","",IF(INDIRECT($Y$6)="無","","メートルまで")))</f>
        <v>#N/A</v>
      </c>
      <c r="S18" s="52" t="e">
        <f ca="1">IF($Q$7="設定しない","",IF($X$6="","",IF(INDIRECT($Y$6)="無","",VLOOKUP("○",INDIRECT($Z$6),7,0))))</f>
        <v>#N/A</v>
      </c>
      <c r="T18" s="52" t="e">
        <f ca="1">IF($Q$7="設定しない","",IF($X$6="","",IF(INDIRECT($Y$6)="無","","円")))</f>
        <v>#N/A</v>
      </c>
      <c r="W18" s="91"/>
      <c r="X18" s="91"/>
      <c r="Y18" s="91"/>
      <c r="Z18" s="91"/>
      <c r="AA18" s="91"/>
      <c r="AB18" s="91"/>
      <c r="AC18" s="91"/>
      <c r="AD18" s="91"/>
      <c r="AE18" s="91"/>
      <c r="AF18" s="91"/>
      <c r="AG18" s="91"/>
      <c r="AH18" s="91"/>
      <c r="AI18" s="91"/>
      <c r="AJ18" s="91"/>
    </row>
    <row r="19" spans="1:36" ht="12.75" customHeight="1" x14ac:dyDescent="0.2">
      <c r="A19" s="51"/>
      <c r="W19" s="91"/>
      <c r="X19" s="91"/>
      <c r="Y19" s="91"/>
      <c r="Z19" s="91"/>
      <c r="AA19" s="91"/>
      <c r="AB19" s="91"/>
      <c r="AC19" s="91"/>
      <c r="AD19" s="91"/>
      <c r="AE19" s="91"/>
      <c r="AF19" s="91"/>
      <c r="AG19" s="91"/>
      <c r="AH19" s="91"/>
      <c r="AI19" s="91"/>
      <c r="AJ19" s="91"/>
    </row>
    <row r="20" spans="1:36" ht="12.75" customHeight="1" x14ac:dyDescent="0.2">
      <c r="B20" s="51" t="str">
        <f>IF(Q7="設定しない","","時間距離併用運賃")</f>
        <v>時間距離併用運賃</v>
      </c>
      <c r="W20" s="91"/>
      <c r="X20" s="91"/>
      <c r="Y20" s="91"/>
      <c r="Z20" s="99"/>
      <c r="AA20" s="91"/>
      <c r="AB20" s="91"/>
      <c r="AC20" s="91"/>
      <c r="AD20" s="91"/>
      <c r="AE20" s="91"/>
      <c r="AF20" s="91"/>
      <c r="AG20" s="91"/>
      <c r="AH20" s="91"/>
      <c r="AI20" s="91"/>
      <c r="AJ20" s="91"/>
    </row>
    <row r="21" spans="1:36" ht="12.75" customHeight="1" x14ac:dyDescent="0.2">
      <c r="B21" s="51"/>
      <c r="D21" s="52" t="e">
        <f ca="1">IF($Q$7="設定しない","",IF(INDIRECT($Y$3)="無","",$X$3))</f>
        <v>#N/A</v>
      </c>
      <c r="H21" s="52" t="e">
        <f ca="1">IF($Q$7="設定しない","",IF(INDIRECT($Y$3)="無","","時速10キロメートル以下の運行時間について"))</f>
        <v>#N/A</v>
      </c>
      <c r="V21" s="91"/>
      <c r="W21" s="91"/>
      <c r="X21" s="91"/>
      <c r="Y21" s="91"/>
      <c r="Z21" s="91"/>
      <c r="AA21" s="91"/>
      <c r="AB21" s="91"/>
      <c r="AC21" s="91"/>
      <c r="AD21" s="91"/>
      <c r="AE21" s="91"/>
      <c r="AF21" s="91"/>
      <c r="AG21" s="91"/>
      <c r="AH21" s="91"/>
      <c r="AI21" s="91"/>
      <c r="AJ21" s="91"/>
    </row>
    <row r="22" spans="1:36" ht="12.75" customHeight="1" x14ac:dyDescent="0.2">
      <c r="B22" s="51"/>
      <c r="K22" s="52" t="e">
        <f ca="1">IF($Q$7="設定しない","",IF(INDIRECT($Y$3)="無","",VLOOKUP("○",INDIRECT($Z$3),9,0)))</f>
        <v>#N/A</v>
      </c>
      <c r="L22" s="52" t="e">
        <f ca="1">IF($Q$7="設定しない","",IF(INDIRECT($Y$3)="無","","分"))</f>
        <v>#N/A</v>
      </c>
      <c r="M22" s="52" t="e">
        <f ca="1">IF($Q$7="設定しない","",IF(INDIRECT($Y$3)="無","",VLOOKUP("○",INDIRECT($Z$3),11,0)))</f>
        <v>#N/A</v>
      </c>
      <c r="N22" s="52" t="e">
        <f ca="1">IF($Q$7="設定しない","",IF(INDIRECT($Y$3)="無","","秒間までごとに"))</f>
        <v>#N/A</v>
      </c>
      <c r="S22" s="52" t="e">
        <f ca="1">IF($Q$7="設定しない","",IF(INDIRECT($Y$3)="無","",VLOOKUP("○",INDIRECT($Z$3),13,0)))</f>
        <v>#N/A</v>
      </c>
      <c r="T22" s="52" t="e">
        <f ca="1">IF($Q$7="設定しない","",IF(INDIRECT($Y$3)="無","","円"))</f>
        <v>#N/A</v>
      </c>
      <c r="V22" s="91"/>
      <c r="W22" s="91"/>
      <c r="X22" s="91"/>
      <c r="Y22" s="91"/>
      <c r="Z22" s="91"/>
      <c r="AA22" s="91"/>
      <c r="AB22" s="91"/>
      <c r="AC22" s="91"/>
      <c r="AD22" s="91"/>
      <c r="AE22" s="91"/>
      <c r="AF22" s="91"/>
      <c r="AG22" s="91"/>
      <c r="AH22" s="91"/>
      <c r="AI22" s="91"/>
      <c r="AJ22" s="91"/>
    </row>
    <row r="23" spans="1:36" ht="12.75" customHeight="1" x14ac:dyDescent="0.2">
      <c r="A23" s="51"/>
      <c r="D23" s="52" t="e">
        <f ca="1">IF($Q$7="設定しない","",IF(INDIRECT($Y$4)="無","",$X$4))</f>
        <v>#N/A</v>
      </c>
      <c r="H23" s="52" t="e">
        <f ca="1">IF($Q$7="設定しない","",IF(INDIRECT($Y$4)="無","","時速10キロメートル以下の運行時間について"))</f>
        <v>#N/A</v>
      </c>
      <c r="V23" s="91"/>
      <c r="W23" s="91"/>
      <c r="X23" s="91"/>
      <c r="Y23" s="91"/>
      <c r="Z23" s="91"/>
      <c r="AA23" s="91"/>
      <c r="AB23" s="91"/>
      <c r="AC23" s="91"/>
      <c r="AD23" s="91"/>
      <c r="AE23" s="91"/>
      <c r="AF23" s="91"/>
      <c r="AG23" s="91"/>
      <c r="AH23" s="91"/>
      <c r="AI23" s="91"/>
      <c r="AJ23" s="91"/>
    </row>
    <row r="24" spans="1:36" ht="12.75" customHeight="1" x14ac:dyDescent="0.2">
      <c r="A24" s="51"/>
      <c r="K24" s="52" t="e">
        <f ca="1">IF($Q$7="設定しない","",IF(INDIRECT($Y$4)="無","",VLOOKUP("○",INDIRECT($Z$4),9,0)))</f>
        <v>#N/A</v>
      </c>
      <c r="L24" s="52" t="e">
        <f ca="1">IF($Q$7="設定しない","",IF(INDIRECT($Y$4)="無","","分"))</f>
        <v>#N/A</v>
      </c>
      <c r="M24" s="52" t="e">
        <f ca="1">IF($Q$7="設定しない","",IF(INDIRECT($Y$4)="無","",VLOOKUP("○",INDIRECT($Z$4),11,0)))</f>
        <v>#N/A</v>
      </c>
      <c r="N24" s="52" t="e">
        <f ca="1">IF($Q$7="設定しない","",IF(INDIRECT($Y$4)="無","","秒間までごとに"))</f>
        <v>#N/A</v>
      </c>
      <c r="S24" s="52" t="e">
        <f ca="1">IF($Q$7="設定しない","",IF(INDIRECT($Y$4)="無","",VLOOKUP("○",INDIRECT($Z$4),13,0)))</f>
        <v>#N/A</v>
      </c>
      <c r="T24" s="52" t="e">
        <f ca="1">IF($Q$7="設定しない","",IF(INDIRECT($Y$4)="無","","円"))</f>
        <v>#N/A</v>
      </c>
      <c r="V24" s="91"/>
      <c r="W24" s="91"/>
      <c r="X24" s="91"/>
      <c r="Y24" s="91"/>
      <c r="Z24" s="91"/>
      <c r="AA24" s="91"/>
      <c r="AB24" s="91"/>
      <c r="AC24" s="91"/>
      <c r="AD24" s="91"/>
      <c r="AE24" s="91"/>
      <c r="AF24" s="91"/>
      <c r="AG24" s="91"/>
      <c r="AH24" s="91"/>
      <c r="AI24" s="91"/>
      <c r="AJ24" s="91"/>
    </row>
    <row r="25" spans="1:36" ht="12.75" customHeight="1" x14ac:dyDescent="0.2">
      <c r="A25" s="51"/>
      <c r="D25" s="52" t="e">
        <f ca="1">IF($Q$7="設定しない","",IF(INDIRECT($Y$5)="無","",$X$5))</f>
        <v>#N/A</v>
      </c>
      <c r="H25" s="52" t="e">
        <f ca="1">IF($Q$7="設定しない","",IF(INDIRECT($Y$5)="無","","時速10キロメートル以下の運行時間について"))</f>
        <v>#N/A</v>
      </c>
      <c r="W25" s="91"/>
      <c r="X25" s="91"/>
      <c r="Y25" s="91"/>
      <c r="Z25" s="91"/>
      <c r="AA25" s="91"/>
      <c r="AB25" s="91"/>
      <c r="AC25" s="91"/>
      <c r="AD25" s="91"/>
      <c r="AE25" s="91"/>
      <c r="AF25" s="91"/>
      <c r="AG25" s="91"/>
      <c r="AH25" s="91"/>
      <c r="AI25" s="91"/>
      <c r="AJ25" s="91"/>
    </row>
    <row r="26" spans="1:36" ht="12.75" customHeight="1" x14ac:dyDescent="0.2">
      <c r="A26" s="51"/>
      <c r="K26" s="52" t="e">
        <f ca="1">IF($Q$7="設定しない","",IF(INDIRECT($Y$5)="無","",VLOOKUP("○",INDIRECT($Z$5),9,0)))</f>
        <v>#N/A</v>
      </c>
      <c r="L26" s="52" t="e">
        <f ca="1">IF($Q$7="設定しない","",IF(INDIRECT($Y$5)="無","","分"))</f>
        <v>#N/A</v>
      </c>
      <c r="M26" s="52" t="e">
        <f ca="1">IF($Q$7="設定しない","",IF(INDIRECT($Y$5)="無","",VLOOKUP("○",INDIRECT($Z$5),11,0)))</f>
        <v>#N/A</v>
      </c>
      <c r="N26" s="52" t="e">
        <f ca="1">IF($Q$7="設定しない","",IF(INDIRECT($Y$5)="無","","秒間までごとに"))</f>
        <v>#N/A</v>
      </c>
      <c r="S26" s="52" t="e">
        <f ca="1">IF($Q$7="設定しない","",IF(INDIRECT($Y$5)="無","",VLOOKUP("○",INDIRECT($Z$5),13,0)))</f>
        <v>#N/A</v>
      </c>
      <c r="T26" s="52" t="e">
        <f ca="1">IF($Q$7="設定しない","",IF(INDIRECT($Y$5)="無","","円"))</f>
        <v>#N/A</v>
      </c>
      <c r="W26" s="91"/>
      <c r="X26" s="91"/>
      <c r="Y26" s="91"/>
      <c r="Z26" s="91"/>
      <c r="AA26" s="91"/>
      <c r="AB26" s="91"/>
      <c r="AC26" s="91"/>
      <c r="AD26" s="91"/>
      <c r="AE26" s="91"/>
      <c r="AF26" s="91"/>
      <c r="AG26" s="91"/>
      <c r="AH26" s="91"/>
      <c r="AI26" s="91"/>
      <c r="AJ26" s="91"/>
    </row>
    <row r="27" spans="1:36" ht="12.75" customHeight="1" x14ac:dyDescent="0.2">
      <c r="A27" s="51"/>
      <c r="D27" s="52" t="e">
        <f ca="1">IF($Q$7="設定しない","",IF($X$6="","",IF(INDIRECT($Y$6)="無","",$X$6)))</f>
        <v>#N/A</v>
      </c>
      <c r="H27" s="52" t="e">
        <f ca="1">IF($Q$7="設定しない","",IF($X$6="","",IF(INDIRECT($Y$6)="無","","時速10キロメートル以下の運行時間について")))</f>
        <v>#N/A</v>
      </c>
      <c r="W27" s="91"/>
      <c r="X27" s="91"/>
      <c r="Y27" s="91"/>
      <c r="Z27" s="91"/>
      <c r="AA27" s="91"/>
      <c r="AB27" s="91"/>
      <c r="AC27" s="91"/>
      <c r="AD27" s="91"/>
      <c r="AE27" s="91"/>
      <c r="AF27" s="91"/>
      <c r="AG27" s="91"/>
      <c r="AH27" s="91"/>
      <c r="AI27" s="91"/>
      <c r="AJ27" s="91"/>
    </row>
    <row r="28" spans="1:36" ht="12.75" customHeight="1" x14ac:dyDescent="0.2">
      <c r="A28" s="51"/>
      <c r="K28" s="52" t="e">
        <f ca="1">IF($Q$7="設定しない","",IF($X$6="","",IF(INDIRECT($Y$6)="無","",VLOOKUP("○",INDIRECT($Z$6),9,0))))</f>
        <v>#N/A</v>
      </c>
      <c r="L28" s="52" t="e">
        <f ca="1">IF($Q$7="設定しない","",IF($X$6="","",IF(INDIRECT($Y$6)="無","","分")))</f>
        <v>#N/A</v>
      </c>
      <c r="M28" s="52" t="e">
        <f ca="1">IF($Q$7="設定しない","",IF($X$6="","",IF(INDIRECT($Y$6)="無","",VLOOKUP("○",INDIRECT($Z$6),11,0))))</f>
        <v>#N/A</v>
      </c>
      <c r="N28" s="52" t="e">
        <f ca="1">IF($Q$7="設定しない","",IF($X$6="","",IF(INDIRECT($Y$6)="無","","秒間までごとに")))</f>
        <v>#N/A</v>
      </c>
      <c r="S28" s="52" t="e">
        <f ca="1">IF($Q$7="設定しない","",IF($X$6="","",IF(INDIRECT($Y$6)="無","",VLOOKUP("○",INDIRECT($Z$6),13,0))))</f>
        <v>#N/A</v>
      </c>
      <c r="T28" s="52" t="e">
        <f ca="1">IF($Q$7="設定しない","",IF($X$6="","",IF(INDIRECT($Y$6)="無","","円")))</f>
        <v>#N/A</v>
      </c>
      <c r="W28" s="91"/>
      <c r="X28" s="91"/>
      <c r="Y28" s="91"/>
      <c r="Z28" s="99"/>
      <c r="AA28" s="91"/>
      <c r="AB28" s="91"/>
      <c r="AC28" s="91"/>
      <c r="AD28" s="91"/>
      <c r="AE28" s="91"/>
      <c r="AF28" s="91"/>
      <c r="AG28" s="91"/>
      <c r="AH28" s="91"/>
      <c r="AI28" s="91"/>
      <c r="AJ28" s="91"/>
    </row>
    <row r="29" spans="1:36" ht="12.75" customHeight="1" x14ac:dyDescent="0.2">
      <c r="A29" s="51"/>
      <c r="W29" s="91"/>
      <c r="X29" s="91"/>
      <c r="Y29" s="91"/>
      <c r="Z29" s="91"/>
      <c r="AA29" s="91"/>
      <c r="AB29" s="91"/>
      <c r="AC29" s="91"/>
      <c r="AD29" s="91"/>
      <c r="AE29" s="91"/>
      <c r="AF29" s="91"/>
      <c r="AG29" s="91"/>
      <c r="AH29" s="91"/>
      <c r="AI29" s="91"/>
      <c r="AJ29" s="91"/>
    </row>
    <row r="30" spans="1:36" ht="12.75" customHeight="1" x14ac:dyDescent="0.2">
      <c r="A30" s="51" t="s">
        <v>42</v>
      </c>
      <c r="B30" s="52" t="str">
        <f>IF(Q7="設定しない","","運賃の割増及び割引")</f>
        <v>運賃の割増及び割引</v>
      </c>
      <c r="V30" s="91"/>
      <c r="W30" s="91"/>
      <c r="X30" s="91"/>
      <c r="Y30" s="91"/>
      <c r="Z30" s="91"/>
      <c r="AA30" s="91"/>
      <c r="AB30" s="91"/>
      <c r="AC30" s="91"/>
      <c r="AD30" s="91"/>
      <c r="AE30" s="91"/>
      <c r="AF30" s="91"/>
      <c r="AG30" s="91"/>
      <c r="AH30" s="91"/>
      <c r="AI30" s="91"/>
      <c r="AJ30" s="91"/>
    </row>
    <row r="31" spans="1:36" ht="12.75" customHeight="1" x14ac:dyDescent="0.2">
      <c r="A31" s="51"/>
      <c r="D31" s="52" t="str">
        <f>IF($Q$7="設定しない","","深夜及び早朝割増")</f>
        <v>深夜及び早朝割増</v>
      </c>
      <c r="R31" s="52" t="str">
        <f>IF($Q$7="設定しない","","２　割　増")</f>
        <v>２　割　増</v>
      </c>
      <c r="T31" s="54"/>
      <c r="V31" s="91"/>
      <c r="W31" s="91"/>
      <c r="X31" s="91"/>
      <c r="Y31" s="91"/>
      <c r="Z31" s="91"/>
      <c r="AA31" s="91"/>
      <c r="AB31" s="91"/>
      <c r="AC31" s="91"/>
      <c r="AD31" s="91"/>
      <c r="AE31" s="91"/>
      <c r="AF31" s="91"/>
      <c r="AG31" s="91"/>
      <c r="AH31" s="91"/>
      <c r="AI31" s="91"/>
      <c r="AJ31" s="91"/>
    </row>
    <row r="32" spans="1:36" ht="12.75" customHeight="1" x14ac:dyDescent="0.2">
      <c r="A32" s="51"/>
      <c r="D32" s="52" t="str">
        <f>IF($Q$7="設定しない","","身体障害者割引")</f>
        <v>身体障害者割引</v>
      </c>
      <c r="R32" s="52" t="str">
        <f>IF($Q$7="設定しない","","１　割　引")</f>
        <v>１　割　引</v>
      </c>
      <c r="V32" s="91"/>
      <c r="W32" s="91"/>
      <c r="X32" s="91"/>
      <c r="Y32" s="91"/>
      <c r="Z32" s="91"/>
      <c r="AA32" s="91"/>
      <c r="AB32" s="91"/>
      <c r="AC32" s="91"/>
      <c r="AD32" s="91"/>
      <c r="AE32" s="91"/>
      <c r="AF32" s="91"/>
      <c r="AG32" s="91"/>
      <c r="AH32" s="91"/>
      <c r="AI32" s="91"/>
      <c r="AJ32" s="91"/>
    </row>
    <row r="33" spans="1:36" ht="12.75" customHeight="1" x14ac:dyDescent="0.2">
      <c r="A33" s="51"/>
      <c r="D33" s="52" t="str">
        <f>IF($Q$7="設定しない","","知的障害者割引")</f>
        <v>知的障害者割引</v>
      </c>
      <c r="R33" s="52" t="str">
        <f>IF($Q$7="設定しない","","１　割　引")</f>
        <v>１　割　引</v>
      </c>
      <c r="W33" s="91"/>
      <c r="X33" s="91"/>
      <c r="Y33" s="91"/>
      <c r="Z33" s="91"/>
      <c r="AA33" s="91"/>
      <c r="AB33" s="91"/>
      <c r="AC33" s="91"/>
      <c r="AD33" s="91"/>
      <c r="AE33" s="91"/>
      <c r="AF33" s="91"/>
      <c r="AG33" s="91"/>
      <c r="AH33" s="91"/>
      <c r="AI33" s="91"/>
      <c r="AJ33" s="91"/>
    </row>
    <row r="34" spans="1:36" ht="12.75" customHeight="1" x14ac:dyDescent="0.2">
      <c r="A34" s="51"/>
      <c r="D34" s="52" t="str">
        <f>IF($Q$7="設定しない","",IF(R34="","","精神障害者割引"))</f>
        <v/>
      </c>
      <c r="R34" s="52" t="str">
        <f>IF($Q$7="設定しない","",IF(手引き!B57="設定する","１　割　引",""))</f>
        <v/>
      </c>
      <c r="W34" s="91"/>
      <c r="X34" s="91"/>
      <c r="Y34" s="91"/>
      <c r="Z34" s="91"/>
      <c r="AA34" s="91"/>
      <c r="AB34" s="91"/>
      <c r="AC34" s="91"/>
      <c r="AD34" s="91"/>
      <c r="AE34" s="91"/>
      <c r="AF34" s="91"/>
      <c r="AG34" s="91"/>
      <c r="AH34" s="91"/>
      <c r="AI34" s="91"/>
      <c r="AJ34" s="91"/>
    </row>
    <row r="35" spans="1:36" ht="12.75" customHeight="1" x14ac:dyDescent="0.2">
      <c r="A35" s="51"/>
      <c r="D35" s="52" t="str">
        <f>IF($Q$7="設定しない","",IF(R35="","","高齢者割引(65歳以上)"))</f>
        <v/>
      </c>
      <c r="G35" s="70"/>
      <c r="R35" s="52" t="str">
        <f>IF($Q$7="設定しない","",IF(手引き!B58="設定する","１　割　引",""))</f>
        <v/>
      </c>
      <c r="W35" s="91"/>
      <c r="X35" s="91"/>
      <c r="Y35" s="91"/>
      <c r="Z35" s="91"/>
      <c r="AA35" s="91"/>
      <c r="AB35" s="91"/>
      <c r="AC35" s="91"/>
      <c r="AD35" s="91"/>
      <c r="AE35" s="91"/>
      <c r="AF35" s="91"/>
      <c r="AG35" s="91"/>
      <c r="AH35" s="91"/>
      <c r="AI35" s="91"/>
      <c r="AJ35" s="91"/>
    </row>
    <row r="36" spans="1:36" ht="12.75" customHeight="1" x14ac:dyDescent="0.2">
      <c r="A36" s="51"/>
      <c r="D36" s="52" t="str">
        <f>IF($Q$7="設定しない","",IF(R36="","","運転免許証返納者割引"))</f>
        <v/>
      </c>
      <c r="R36" s="52" t="str">
        <f>IF($Q$7="設定しない","",IF(手引き!B59="設定する","１　割　引",""))</f>
        <v/>
      </c>
      <c r="W36" s="91"/>
      <c r="X36" s="91"/>
      <c r="Y36" s="91"/>
      <c r="Z36" s="99"/>
      <c r="AA36" s="91"/>
      <c r="AB36" s="91"/>
      <c r="AC36" s="91"/>
      <c r="AD36" s="91"/>
      <c r="AE36" s="91"/>
      <c r="AF36" s="91"/>
      <c r="AG36" s="91"/>
      <c r="AH36" s="91"/>
      <c r="AI36" s="91"/>
      <c r="AJ36" s="91"/>
    </row>
    <row r="37" spans="1:36" ht="12.75" customHeight="1" x14ac:dyDescent="0.2">
      <c r="A37" s="51"/>
      <c r="D37" s="52" t="str">
        <f>IF($Q$7="設定しない","",IF(R37="","","遠距離割引（9,000円を超える金額について） "))</f>
        <v/>
      </c>
      <c r="R37" s="52" t="str">
        <f>IF($Q$7="設定しない","",IF(手引き!B60="設定する","１　割　引",""))</f>
        <v/>
      </c>
      <c r="W37" s="91"/>
      <c r="X37" s="91"/>
      <c r="Y37" s="91"/>
      <c r="Z37" s="91"/>
      <c r="AA37" s="91"/>
      <c r="AB37" s="91"/>
      <c r="AC37" s="91"/>
      <c r="AD37" s="91"/>
      <c r="AE37" s="91"/>
      <c r="AF37" s="91"/>
      <c r="AG37" s="91"/>
      <c r="AH37" s="91"/>
      <c r="AI37" s="91"/>
      <c r="AJ37" s="91"/>
    </row>
    <row r="38" spans="1:36" ht="12.75" customHeight="1" x14ac:dyDescent="0.2">
      <c r="A38" s="51"/>
      <c r="V38" s="91"/>
      <c r="W38" s="91"/>
      <c r="X38" s="91"/>
      <c r="Y38" s="91"/>
      <c r="Z38" s="91"/>
      <c r="AA38" s="91"/>
      <c r="AB38" s="91"/>
      <c r="AC38" s="91"/>
      <c r="AD38" s="91"/>
      <c r="AE38" s="91"/>
      <c r="AF38" s="91"/>
      <c r="AG38" s="91"/>
      <c r="AH38" s="91"/>
      <c r="AI38" s="91"/>
      <c r="AJ38" s="91"/>
    </row>
    <row r="39" spans="1:36" ht="12.75" customHeight="1" x14ac:dyDescent="0.2">
      <c r="A39" s="58" t="s">
        <v>300</v>
      </c>
      <c r="R39" s="52" t="str">
        <f>IF(手引き!C54="○","設定しない","")</f>
        <v/>
      </c>
      <c r="V39" s="91"/>
      <c r="W39" s="91"/>
      <c r="X39" s="91"/>
      <c r="Y39" s="91"/>
      <c r="Z39" s="91"/>
      <c r="AA39" s="91"/>
      <c r="AB39" s="91"/>
      <c r="AC39" s="91"/>
      <c r="AD39" s="91"/>
      <c r="AE39" s="91"/>
      <c r="AF39" s="91"/>
      <c r="AG39" s="91"/>
      <c r="AH39" s="91"/>
      <c r="AI39" s="91"/>
      <c r="AJ39" s="91"/>
    </row>
    <row r="40" spans="1:36" ht="12.75" customHeight="1" x14ac:dyDescent="0.2">
      <c r="A40" s="58"/>
      <c r="C40" s="81" t="str">
        <f>IF($Q$7="設定しない","",IF(手引き!F50="","",IF(手引き!$C$49="○","特定大型車　　　　　　１回")))</f>
        <v/>
      </c>
      <c r="R40" s="521" t="str">
        <f>IF(手引き!F50="","",手引き!F50)</f>
        <v/>
      </c>
      <c r="S40" s="521"/>
      <c r="T40" s="52" t="str">
        <f>IF(R40="","","円")</f>
        <v/>
      </c>
      <c r="V40" s="91"/>
      <c r="W40" s="91"/>
      <c r="X40" s="91"/>
      <c r="Y40" s="91"/>
      <c r="Z40" s="91"/>
      <c r="AA40" s="91"/>
      <c r="AB40" s="91"/>
      <c r="AC40" s="91"/>
      <c r="AD40" s="91"/>
      <c r="AE40" s="91"/>
      <c r="AF40" s="91"/>
      <c r="AG40" s="91"/>
      <c r="AH40" s="91"/>
      <c r="AI40" s="91"/>
      <c r="AJ40" s="91"/>
    </row>
    <row r="41" spans="1:36" ht="12.75" customHeight="1" x14ac:dyDescent="0.2">
      <c r="A41" s="51"/>
      <c r="C41" s="75" t="str">
        <f>IF($Q$7="設定しない","",IF(手引き!C48="○","迎車のための回送距離について初乗距離を限度として実車扱いとし、",IF(手引き!F51="","","大型車　　　　　　　　１回")))</f>
        <v/>
      </c>
      <c r="R41" s="521" t="str">
        <f>IF(手引き!F51="","",手引き!F51)</f>
        <v/>
      </c>
      <c r="S41" s="521"/>
      <c r="T41" s="52" t="str">
        <f>IF(R41="","","円")</f>
        <v/>
      </c>
      <c r="W41" s="91"/>
      <c r="X41" s="91"/>
      <c r="Y41" s="91"/>
      <c r="Z41" s="91"/>
      <c r="AA41" s="91"/>
      <c r="AB41" s="91"/>
      <c r="AC41" s="91"/>
      <c r="AD41" s="91"/>
      <c r="AE41" s="91"/>
      <c r="AF41" s="91"/>
      <c r="AG41" s="91"/>
      <c r="AH41" s="91"/>
      <c r="AI41" s="91"/>
      <c r="AJ41" s="91"/>
    </row>
    <row r="42" spans="1:36" ht="12.75" customHeight="1" x14ac:dyDescent="0.2">
      <c r="A42" s="51"/>
      <c r="C42" s="52" t="str">
        <f>IF($Q$7="設定しない","",IF(手引き!C48="○","初乗運賃額を限度とする。",IF(手引き!F52="","","普通車　　　　　　　　１回")))</f>
        <v/>
      </c>
      <c r="R42" s="521" t="str">
        <f>IF(手引き!F52="","",手引き!F52)</f>
        <v/>
      </c>
      <c r="S42" s="521"/>
      <c r="T42" s="52" t="str">
        <f>IF(R42="","","円")</f>
        <v/>
      </c>
      <c r="W42" s="91"/>
      <c r="X42" s="91"/>
      <c r="Y42" s="91"/>
      <c r="Z42" s="91"/>
      <c r="AA42" s="91"/>
      <c r="AB42" s="91"/>
      <c r="AC42" s="91"/>
      <c r="AD42" s="91"/>
      <c r="AE42" s="91"/>
      <c r="AF42" s="91"/>
      <c r="AG42" s="91"/>
      <c r="AH42" s="91"/>
      <c r="AI42" s="91"/>
      <c r="AJ42" s="91"/>
    </row>
    <row r="43" spans="1:36" ht="12.75" customHeight="1" x14ac:dyDescent="0.2">
      <c r="A43" s="51"/>
      <c r="C43" s="96" t="str">
        <f>IF($Q$7="設定しない","",IF(手引き!F53="","",IF(手引き!$C$49="○","小型車　　　　　　　　１回")))</f>
        <v/>
      </c>
      <c r="R43" s="521" t="str">
        <f>IF(手引き!F53="","",手引き!F53)</f>
        <v/>
      </c>
      <c r="S43" s="521"/>
      <c r="T43" s="52" t="str">
        <f>IF(R43="","","円")</f>
        <v/>
      </c>
      <c r="W43" s="91"/>
      <c r="X43" s="91"/>
      <c r="Y43" s="91"/>
      <c r="Z43" s="91"/>
      <c r="AA43" s="91"/>
      <c r="AB43" s="91"/>
      <c r="AC43" s="91"/>
      <c r="AD43" s="91"/>
      <c r="AE43" s="91"/>
      <c r="AF43" s="91"/>
      <c r="AG43" s="91"/>
      <c r="AH43" s="91"/>
      <c r="AI43" s="91"/>
      <c r="AJ43" s="91"/>
    </row>
    <row r="44" spans="1:36" s="91" customFormat="1" ht="12.75" customHeight="1" x14ac:dyDescent="0.2">
      <c r="A44" s="90"/>
      <c r="Z44" s="99"/>
    </row>
    <row r="45" spans="1:36" s="91" customFormat="1" ht="12.75" customHeight="1" x14ac:dyDescent="0.2">
      <c r="A45" s="90"/>
    </row>
    <row r="46" spans="1:36" ht="12.75" customHeight="1" x14ac:dyDescent="0.2">
      <c r="A46" s="59" t="s">
        <v>282</v>
      </c>
      <c r="V46" s="91"/>
      <c r="W46" s="91"/>
      <c r="X46" s="91"/>
      <c r="Y46" s="91"/>
      <c r="Z46" s="91"/>
      <c r="AA46" s="91"/>
      <c r="AB46" s="91"/>
      <c r="AC46" s="91"/>
      <c r="AD46" s="91"/>
      <c r="AE46" s="91"/>
      <c r="AF46" s="91"/>
      <c r="AG46" s="91"/>
      <c r="AH46" s="91"/>
      <c r="AI46" s="91"/>
      <c r="AJ46" s="91"/>
    </row>
    <row r="47" spans="1:36" ht="12.75" customHeight="1" x14ac:dyDescent="0.2">
      <c r="A47" s="59"/>
      <c r="B47" s="68" t="e">
        <f>IF(V54=0,"運 　 賃","初乗運賃")</f>
        <v>#N/A</v>
      </c>
      <c r="V47" s="91"/>
      <c r="W47" s="91"/>
      <c r="X47" s="91"/>
      <c r="Y47" s="91"/>
      <c r="Z47" s="91"/>
      <c r="AA47" s="91"/>
      <c r="AB47" s="91"/>
      <c r="AC47" s="91"/>
      <c r="AD47" s="91"/>
      <c r="AE47" s="91"/>
      <c r="AF47" s="91"/>
      <c r="AG47" s="91"/>
      <c r="AH47" s="91"/>
      <c r="AI47" s="91"/>
      <c r="AJ47" s="91"/>
    </row>
    <row r="48" spans="1:36" ht="12.75" customHeight="1" x14ac:dyDescent="0.2">
      <c r="A48" s="59"/>
      <c r="B48" s="68"/>
      <c r="D48" s="52" t="e">
        <f ca="1">IF(INDIRECT($AD$3)="無","",$AC$3)</f>
        <v>#N/A</v>
      </c>
      <c r="H48" s="52" t="e">
        <f ca="1">IF(INDIRECT($AD$3)="無","",$AF$2*手引き!$N$44)</f>
        <v>#N/A</v>
      </c>
      <c r="I48" s="91" t="e">
        <f ca="1">IF(INDIRECT($AD$3)="無","",IF(V54=0,"分間までごとに","分間まで"))</f>
        <v>#N/A</v>
      </c>
      <c r="R48" s="518" t="e">
        <f ca="1">IF(INDIRECT($AD$3)="無","",ROUNDDOWN(VLOOKUP("○",INDIRECT($AE$3),3,0)*手引き!$N$44,-1))</f>
        <v>#N/A</v>
      </c>
      <c r="S48" s="518"/>
      <c r="T48" s="52" t="e">
        <f ca="1">IF(INDIRECT($AD$3)="無","","円")</f>
        <v>#N/A</v>
      </c>
      <c r="V48" s="91"/>
      <c r="W48" s="91"/>
      <c r="X48" s="91"/>
      <c r="Y48" s="91"/>
      <c r="Z48" s="91"/>
      <c r="AA48" s="91"/>
      <c r="AB48" s="91"/>
      <c r="AC48" s="91"/>
      <c r="AD48" s="91"/>
      <c r="AE48" s="91"/>
      <c r="AF48" s="91"/>
      <c r="AG48" s="91"/>
      <c r="AH48" s="91"/>
      <c r="AI48" s="91"/>
      <c r="AJ48" s="91"/>
    </row>
    <row r="49" spans="1:36" ht="12.75" customHeight="1" x14ac:dyDescent="0.2">
      <c r="A49" s="59"/>
      <c r="B49" s="53"/>
      <c r="D49" s="52" t="e">
        <f ca="1">IF(INDIRECT($AD$4)="無","",$AC$4)</f>
        <v>#N/A</v>
      </c>
      <c r="H49" s="52" t="e">
        <f ca="1">IF(INDIRECT($AD$4)="無","",$AF$2*手引き!$N$44)</f>
        <v>#N/A</v>
      </c>
      <c r="I49" s="52" t="e">
        <f ca="1">IF(INDIRECT($AD$4)="無","",IF(V54=0,"分間までごとに","分間まで"))</f>
        <v>#N/A</v>
      </c>
      <c r="R49" s="518" t="e">
        <f ca="1">IF(INDIRECT($AD$4)="無","",ROUNDDOWN(VLOOKUP("○",INDIRECT($AE$4),3,0)*手引き!$N$44,-1))</f>
        <v>#N/A</v>
      </c>
      <c r="S49" s="518"/>
      <c r="T49" s="52" t="e">
        <f ca="1">IF(INDIRECT($AD$4)="無","","円")</f>
        <v>#N/A</v>
      </c>
      <c r="W49" s="91"/>
      <c r="X49" s="91"/>
      <c r="Y49" s="91"/>
      <c r="Z49" s="91"/>
      <c r="AA49" s="91"/>
      <c r="AB49" s="91"/>
      <c r="AC49" s="91"/>
      <c r="AD49" s="91"/>
      <c r="AE49" s="91"/>
      <c r="AF49" s="91"/>
      <c r="AG49" s="91"/>
      <c r="AH49" s="91"/>
      <c r="AI49" s="91"/>
      <c r="AJ49" s="91"/>
    </row>
    <row r="50" spans="1:36" ht="12.75" customHeight="1" x14ac:dyDescent="0.2">
      <c r="A50" s="59"/>
      <c r="B50" s="53"/>
      <c r="D50" s="52" t="e">
        <f ca="1">IF(INDIRECT($AD$5)="無","",$AC$5)</f>
        <v>#N/A</v>
      </c>
      <c r="H50" s="52" t="e">
        <f ca="1">IF(INDIRECT($AD$5)="無","",$AF$2*手引き!$N$44)</f>
        <v>#N/A</v>
      </c>
      <c r="I50" s="91" t="e">
        <f ca="1">IF(INDIRECT($AD$5)="無","",IF(V54=0,"分間までごとに","分間まで"))</f>
        <v>#N/A</v>
      </c>
      <c r="R50" s="518" t="e">
        <f ca="1">IF(INDIRECT($AD$5)="無","",ROUNDDOWN(VLOOKUP("○",INDIRECT($AE$5),3,0)*手引き!$N$44,-1))</f>
        <v>#N/A</v>
      </c>
      <c r="S50" s="518"/>
      <c r="T50" s="52" t="e">
        <f ca="1">IF(INDIRECT($AD$5)="無","","円")</f>
        <v>#N/A</v>
      </c>
      <c r="W50" s="91"/>
      <c r="X50" s="91"/>
      <c r="Y50" s="91"/>
      <c r="Z50" s="91"/>
      <c r="AA50" s="91"/>
      <c r="AB50" s="91"/>
      <c r="AC50" s="91"/>
      <c r="AD50" s="91"/>
      <c r="AE50" s="91"/>
      <c r="AF50" s="91"/>
      <c r="AG50" s="91"/>
      <c r="AH50" s="91"/>
      <c r="AI50" s="91"/>
      <c r="AJ50" s="91"/>
    </row>
    <row r="51" spans="1:36" ht="12.75" customHeight="1" x14ac:dyDescent="0.2">
      <c r="A51" s="59"/>
      <c r="B51" s="53"/>
      <c r="D51" s="52" t="e">
        <f ca="1">IF($AC$6="","",IF(INDIRECT($AD$6)="無","",$AC$6))</f>
        <v>#N/A</v>
      </c>
      <c r="H51" s="52" t="e">
        <f ca="1">IF($AC$6="","",IF(INDIRECT($AD$6)="無","",$AF$2*手引き!$N$44))</f>
        <v>#N/A</v>
      </c>
      <c r="I51" s="52" t="e">
        <f ca="1">IF($AC$6="","",IF(INDIRECT($AD$6)="無","",IF(V54=0,"分間までごとに","分間まで")))</f>
        <v>#N/A</v>
      </c>
      <c r="R51" s="518" t="e">
        <f ca="1">IF($AC$6="","",IF(INDIRECT($AD$6)="無","",ROUNDDOWN(VLOOKUP("○",INDIRECT($AE$6),3,0)*手引き!$N$44,-1)))</f>
        <v>#N/A</v>
      </c>
      <c r="S51" s="518"/>
      <c r="T51" s="52" t="e">
        <f ca="1">IF($AC$6="","",IF(INDIRECT($AD$6)="無","","円"))</f>
        <v>#N/A</v>
      </c>
      <c r="W51" s="91"/>
      <c r="X51" s="91"/>
      <c r="Y51" s="91"/>
      <c r="Z51" s="91"/>
      <c r="AA51" s="91"/>
      <c r="AB51" s="91"/>
      <c r="AC51" s="91"/>
      <c r="AD51" s="91"/>
      <c r="AE51" s="91"/>
      <c r="AF51" s="91"/>
      <c r="AG51" s="91"/>
      <c r="AH51" s="91"/>
      <c r="AI51" s="91"/>
      <c r="AJ51" s="91"/>
    </row>
    <row r="52" spans="1:36" ht="12.75" customHeight="1" x14ac:dyDescent="0.2">
      <c r="A52" s="59"/>
      <c r="W52" s="91"/>
      <c r="X52" s="91"/>
      <c r="Y52" s="91"/>
      <c r="Z52" s="99"/>
      <c r="AA52" s="91"/>
      <c r="AB52" s="91"/>
      <c r="AC52" s="91"/>
      <c r="AD52" s="91"/>
      <c r="AE52" s="91"/>
      <c r="AF52" s="91"/>
      <c r="AG52" s="91"/>
      <c r="AH52" s="91"/>
      <c r="AI52" s="91"/>
      <c r="AJ52" s="91"/>
    </row>
    <row r="53" spans="1:36" ht="12.75" customHeight="1" x14ac:dyDescent="0.2">
      <c r="B53" s="68" t="e">
        <f>IF(V54=0,"","加算運賃")</f>
        <v>#N/A</v>
      </c>
      <c r="W53" s="91"/>
      <c r="X53" s="91"/>
      <c r="Y53" s="91"/>
      <c r="Z53" s="91"/>
      <c r="AA53" s="91"/>
      <c r="AB53" s="91"/>
      <c r="AC53" s="91"/>
      <c r="AD53" s="91"/>
      <c r="AE53" s="91"/>
      <c r="AF53" s="91"/>
      <c r="AG53" s="91"/>
      <c r="AH53" s="91"/>
      <c r="AI53" s="91"/>
      <c r="AJ53" s="91"/>
    </row>
    <row r="54" spans="1:36" ht="12.75" customHeight="1" x14ac:dyDescent="0.2">
      <c r="B54" s="68"/>
      <c r="D54" s="52" t="e">
        <f ca="1">IF(V54=0,"",IF(INDIRECT($AD$3)="無","",$AC$3))</f>
        <v>#N/A</v>
      </c>
      <c r="H54" s="52" t="e">
        <f ca="1">IF(V54=0,"",IF(INDIRECT($AD$3)="無","",$AH$2*手引き!$N$45))</f>
        <v>#N/A</v>
      </c>
      <c r="I54" s="52" t="e">
        <f ca="1">IF(V54=0,"",IF(INDIRECT($AD$3)="無","","分間までごとに"))</f>
        <v>#N/A</v>
      </c>
      <c r="R54" s="518" t="e">
        <f ca="1">IF(V54=0,"",IF(INDIRECT($AD$3)="無","",IF($AJ$2=0,ROUNDDOWN(VLOOKUP("○",INDIRECT($AE$3),3,0)*手引き!$N$45,-1),ROUNDDOWN(VLOOKUP("○",INDIRECT($AE$3),5,0)*手引き!$N$45,-1))))</f>
        <v>#N/A</v>
      </c>
      <c r="S54" s="518"/>
      <c r="T54" s="52" t="e">
        <f ca="1">IF(V54=0,"",IF(INDIRECT($AD$3)="無","","円"))</f>
        <v>#N/A</v>
      </c>
      <c r="V54" s="91" t="e">
        <f>$AF$2*手引き!$N$44-$AH$2*手引き!$N$45</f>
        <v>#N/A</v>
      </c>
      <c r="W54" s="91"/>
      <c r="X54" s="91"/>
      <c r="Y54" s="91"/>
      <c r="Z54" s="91"/>
      <c r="AA54" s="91"/>
      <c r="AB54" s="91"/>
      <c r="AC54" s="91"/>
      <c r="AD54" s="91"/>
      <c r="AE54" s="91"/>
      <c r="AF54" s="91"/>
      <c r="AG54" s="91"/>
      <c r="AH54" s="91"/>
      <c r="AI54" s="91"/>
      <c r="AJ54" s="91"/>
    </row>
    <row r="55" spans="1:36" ht="12.75" customHeight="1" x14ac:dyDescent="0.2">
      <c r="A55" s="51"/>
      <c r="B55" s="53"/>
      <c r="D55" s="52" t="e">
        <f ca="1">IF(V54=0,"",IF(INDIRECT($AD$4)="無","",$AC$4))</f>
        <v>#N/A</v>
      </c>
      <c r="H55" s="52" t="e">
        <f ca="1">IF(V54=0,"",IF(INDIRECT($AD$4)="無","",$AH$2*手引き!$N$45))</f>
        <v>#N/A</v>
      </c>
      <c r="I55" s="52" t="e">
        <f ca="1">IF(V54=0,"",IF(INDIRECT($AD$4)="無","","分間までごとに"))</f>
        <v>#N/A</v>
      </c>
      <c r="R55" s="518" t="e">
        <f ca="1">IF(V54=0,"",IF(INDIRECT($AD$4)="無","",IF($AJ$2=0,ROUNDDOWN(VLOOKUP("○",INDIRECT($AE$4),3,0)*手引き!$N$45,-1),ROUNDDOWN(VLOOKUP("○",INDIRECT($AE$4),5,0)*手引き!$N$45,-1))))</f>
        <v>#N/A</v>
      </c>
      <c r="S55" s="518"/>
      <c r="T55" s="52" t="e">
        <f ca="1">IF(V54=0,"",IF(INDIRECT($AD$4)="無","","円"))</f>
        <v>#N/A</v>
      </c>
      <c r="V55" s="91"/>
      <c r="W55" s="91"/>
      <c r="X55" s="91"/>
      <c r="Y55" s="91"/>
      <c r="Z55" s="91"/>
      <c r="AA55" s="91"/>
      <c r="AB55" s="91"/>
      <c r="AC55" s="91"/>
      <c r="AD55" s="91"/>
      <c r="AE55" s="91"/>
      <c r="AF55" s="91"/>
      <c r="AG55" s="91"/>
      <c r="AH55" s="91"/>
      <c r="AI55" s="91"/>
      <c r="AJ55" s="91"/>
    </row>
    <row r="56" spans="1:36" ht="12.75" customHeight="1" x14ac:dyDescent="0.2">
      <c r="A56" s="51"/>
      <c r="B56" s="53"/>
      <c r="D56" s="52" t="e">
        <f ca="1">IF(V54=0,"",IF(INDIRECT($AD$5)="無","",$AC$5))</f>
        <v>#N/A</v>
      </c>
      <c r="H56" s="52" t="e">
        <f ca="1">IF(V54=0,"",IF(INDIRECT($AD$5)="無","",$AH$2*手引き!$N$45))</f>
        <v>#N/A</v>
      </c>
      <c r="I56" s="52" t="e">
        <f ca="1">IF(V54=0,"",IF(INDIRECT($AD$5)="無","","分間までごとに"))</f>
        <v>#N/A</v>
      </c>
      <c r="R56" s="518" t="e">
        <f ca="1">IF(V54=0,"",IF(INDIRECT($AD$5)="無","",IF($AJ$2=0,ROUNDDOWN(VLOOKUP("○",INDIRECT($AE$5),3,0)*手引き!$N$45,-1),ROUNDDOWN(VLOOKUP("○",INDIRECT($AE$5),5,0)*手引き!$N$45,-1))))</f>
        <v>#N/A</v>
      </c>
      <c r="S56" s="518"/>
      <c r="T56" s="52" t="e">
        <f ca="1">IF(V54=0,"",IF(INDIRECT($AD$5)="無","","円"))</f>
        <v>#N/A</v>
      </c>
      <c r="V56" s="91"/>
      <c r="W56" s="91"/>
      <c r="X56" s="91"/>
      <c r="Y56" s="91"/>
      <c r="Z56" s="91"/>
      <c r="AA56" s="91"/>
      <c r="AB56" s="91"/>
      <c r="AC56" s="91"/>
      <c r="AD56" s="91"/>
      <c r="AE56" s="91"/>
      <c r="AF56" s="91"/>
      <c r="AG56" s="91"/>
      <c r="AH56" s="91"/>
      <c r="AI56" s="91"/>
      <c r="AJ56" s="91"/>
    </row>
    <row r="57" spans="1:36" ht="12.75" customHeight="1" x14ac:dyDescent="0.2">
      <c r="A57" s="51"/>
      <c r="B57" s="53"/>
      <c r="D57" s="52" t="e">
        <f ca="1">IF(V54=0,"",IF($AC$6="","",IF(INDIRECT($AD$6)="無","",$AC$6)))</f>
        <v>#N/A</v>
      </c>
      <c r="H57" s="52" t="e">
        <f ca="1">IF(V54=0,"",IF($AC$6="","",IF(INDIRECT($AD$6)="無","",$AH$2*手引き!$N$45)))</f>
        <v>#N/A</v>
      </c>
      <c r="I57" s="52" t="e">
        <f ca="1">IF(V54=0,"",IF($AC$6="","",IF(INDIRECT($AD$6)="無","","分間までごとに")))</f>
        <v>#N/A</v>
      </c>
      <c r="R57" s="518" t="e">
        <f ca="1">IF(V54=0,"",IF($AC$6="","",IF(INDIRECT($AD$6)="無","",IF($AJ$2=0,ROUNDDOWN(VLOOKUP("○",INDIRECT($AE$6),3,0)*手引き!$N$45,-1),ROUNDDOWN(VLOOKUP("○",INDIRECT($AE$6),5,0)*手引き!$N$45,-1)))))</f>
        <v>#N/A</v>
      </c>
      <c r="S57" s="518"/>
      <c r="T57" s="91" t="e">
        <f ca="1">IF(V54=0,"",IF($AC$6="","",IF(INDIRECT($AD$6)="無","","円")))</f>
        <v>#N/A</v>
      </c>
      <c r="V57" s="91"/>
      <c r="W57" s="91"/>
      <c r="X57" s="91"/>
      <c r="Y57" s="91"/>
      <c r="Z57" s="91"/>
      <c r="AA57" s="91"/>
      <c r="AB57" s="91"/>
      <c r="AC57" s="91"/>
      <c r="AD57" s="91"/>
      <c r="AE57" s="91"/>
      <c r="AF57" s="91"/>
      <c r="AG57" s="91"/>
      <c r="AH57" s="91"/>
      <c r="AI57" s="91"/>
      <c r="AJ57" s="91"/>
    </row>
    <row r="58" spans="1:36" ht="12.75" customHeight="1" x14ac:dyDescent="0.2">
      <c r="A58" s="51"/>
      <c r="V58" s="51"/>
      <c r="W58" s="91"/>
      <c r="X58" s="91"/>
      <c r="Y58" s="91"/>
      <c r="Z58" s="91"/>
      <c r="AA58" s="91"/>
      <c r="AB58" s="91"/>
      <c r="AC58" s="91"/>
      <c r="AD58" s="91"/>
      <c r="AE58" s="91"/>
      <c r="AF58" s="91"/>
      <c r="AG58" s="91"/>
      <c r="AH58" s="91"/>
      <c r="AI58" s="91"/>
      <c r="AJ58" s="91"/>
    </row>
    <row r="59" spans="1:36" ht="15" customHeight="1" x14ac:dyDescent="0.2">
      <c r="A59" s="51"/>
      <c r="V59" s="51"/>
      <c r="W59" s="91"/>
      <c r="X59" s="91"/>
      <c r="Y59" s="91"/>
      <c r="Z59" s="91"/>
      <c r="AA59" s="91"/>
      <c r="AB59" s="91"/>
      <c r="AC59" s="91"/>
      <c r="AD59" s="91"/>
      <c r="AE59" s="91"/>
      <c r="AF59" s="91"/>
      <c r="AG59" s="91"/>
      <c r="AH59" s="91"/>
      <c r="AI59" s="91"/>
      <c r="AJ59" s="91"/>
    </row>
    <row r="60" spans="1:36" ht="15" customHeight="1" x14ac:dyDescent="0.2">
      <c r="B60" s="67" t="s">
        <v>66</v>
      </c>
      <c r="V60" s="51"/>
      <c r="W60" s="91"/>
      <c r="X60" s="91"/>
      <c r="Y60" s="91"/>
      <c r="Z60" s="99"/>
      <c r="AA60" s="91"/>
      <c r="AB60" s="91"/>
      <c r="AC60" s="91"/>
      <c r="AD60" s="91"/>
      <c r="AE60" s="91"/>
      <c r="AF60" s="91"/>
      <c r="AG60" s="91"/>
      <c r="AH60" s="91"/>
      <c r="AI60" s="91"/>
      <c r="AJ60" s="91"/>
    </row>
    <row r="61" spans="1:36" ht="15" customHeight="1" x14ac:dyDescent="0.2">
      <c r="A61" s="51" t="s">
        <v>61</v>
      </c>
      <c r="D61" s="52" t="s">
        <v>45</v>
      </c>
      <c r="R61" s="52" t="s">
        <v>62</v>
      </c>
      <c r="W61" s="91"/>
      <c r="X61" s="91"/>
      <c r="Y61" s="91"/>
      <c r="Z61" s="91"/>
      <c r="AA61" s="91"/>
      <c r="AB61" s="91"/>
      <c r="AC61" s="91"/>
      <c r="AD61" s="91"/>
      <c r="AE61" s="91"/>
      <c r="AF61" s="91"/>
      <c r="AG61" s="91"/>
      <c r="AH61" s="91"/>
      <c r="AI61" s="91"/>
      <c r="AJ61" s="91"/>
    </row>
    <row r="62" spans="1:36" ht="15" customHeight="1" x14ac:dyDescent="0.2">
      <c r="A62" s="51"/>
      <c r="D62" s="52" t="s">
        <v>44</v>
      </c>
      <c r="R62" s="52" t="s">
        <v>62</v>
      </c>
      <c r="V62" s="91"/>
      <c r="W62" s="91"/>
      <c r="X62" s="91"/>
      <c r="Y62" s="91"/>
      <c r="Z62" s="91"/>
      <c r="AA62" s="91"/>
      <c r="AB62" s="91"/>
      <c r="AC62" s="91"/>
      <c r="AD62" s="91"/>
      <c r="AE62" s="91"/>
      <c r="AF62" s="91"/>
      <c r="AG62" s="91"/>
      <c r="AH62" s="91"/>
      <c r="AI62" s="91"/>
      <c r="AJ62" s="91"/>
    </row>
    <row r="63" spans="1:36" ht="15" customHeight="1" x14ac:dyDescent="0.2">
      <c r="A63" s="51"/>
      <c r="D63" s="52" t="str">
        <f>IF(R63="","","精神障害者割引")</f>
        <v/>
      </c>
      <c r="R63" s="52" t="str">
        <f>IF(手引き!B57="設定する","１　割　引","")</f>
        <v/>
      </c>
      <c r="V63" s="91"/>
      <c r="W63" s="91"/>
      <c r="X63" s="91"/>
      <c r="Y63" s="91"/>
      <c r="Z63" s="91"/>
      <c r="AA63" s="91"/>
      <c r="AB63" s="91"/>
      <c r="AC63" s="91"/>
      <c r="AD63" s="91"/>
      <c r="AE63" s="91"/>
      <c r="AF63" s="91"/>
      <c r="AG63" s="91"/>
      <c r="AH63" s="91"/>
      <c r="AI63" s="91"/>
      <c r="AJ63" s="91"/>
    </row>
    <row r="64" spans="1:36" ht="15" customHeight="1" x14ac:dyDescent="0.2">
      <c r="A64" s="51"/>
      <c r="D64" s="52" t="str">
        <f>IF(R64="","","高齢者割引")</f>
        <v/>
      </c>
      <c r="G64" s="70" t="str">
        <f>IF(R64="","","(")</f>
        <v/>
      </c>
      <c r="H64" s="52" t="str">
        <f>IF(R64="","",65)</f>
        <v/>
      </c>
      <c r="I64" s="52" t="str">
        <f>IF(R64="","","歳以上）")</f>
        <v/>
      </c>
      <c r="R64" s="52" t="str">
        <f>IF(手引き!B58="設定する","１　割　引","")</f>
        <v/>
      </c>
      <c r="V64" s="91"/>
      <c r="W64" s="91"/>
      <c r="X64" s="91"/>
      <c r="Y64" s="91"/>
      <c r="Z64" s="91"/>
      <c r="AA64" s="91"/>
      <c r="AB64" s="91"/>
      <c r="AC64" s="91"/>
      <c r="AD64" s="91"/>
      <c r="AE64" s="91"/>
      <c r="AF64" s="91"/>
      <c r="AG64" s="91"/>
      <c r="AH64" s="91"/>
      <c r="AI64" s="91"/>
      <c r="AJ64" s="91"/>
    </row>
    <row r="65" spans="1:39" ht="15" customHeight="1" x14ac:dyDescent="0.2">
      <c r="A65" s="51"/>
      <c r="D65" s="52" t="str">
        <f>IF(R65="","","運転免許証返納者割引")</f>
        <v/>
      </c>
      <c r="R65" s="52" t="str">
        <f>IF(手引き!B59="設定する","１　割　引","")</f>
        <v/>
      </c>
      <c r="W65" s="91"/>
      <c r="X65" s="91"/>
      <c r="Y65" s="91"/>
      <c r="Z65" s="91"/>
      <c r="AA65" s="91"/>
      <c r="AB65" s="91"/>
      <c r="AC65" s="91"/>
      <c r="AD65" s="91"/>
      <c r="AE65" s="91"/>
      <c r="AF65" s="91"/>
      <c r="AG65" s="91"/>
      <c r="AH65" s="91"/>
      <c r="AI65" s="91"/>
      <c r="AJ65" s="91"/>
    </row>
    <row r="66" spans="1:39" ht="15" customHeight="1" x14ac:dyDescent="0.2">
      <c r="A66" s="51"/>
      <c r="W66" s="91"/>
      <c r="X66" s="91"/>
      <c r="Y66" s="91"/>
      <c r="Z66" s="91"/>
      <c r="AA66" s="91"/>
      <c r="AB66" s="91"/>
      <c r="AC66" s="91"/>
      <c r="AD66" s="91"/>
      <c r="AE66" s="91"/>
      <c r="AF66" s="91"/>
      <c r="AG66" s="91"/>
      <c r="AH66" s="91"/>
      <c r="AI66" s="91"/>
      <c r="AJ66" s="91"/>
    </row>
    <row r="67" spans="1:39" ht="15" customHeight="1" x14ac:dyDescent="0.2">
      <c r="A67" s="69" t="s">
        <v>283</v>
      </c>
      <c r="H67" s="52" t="str">
        <f>IF(手引き!$C$65="○","（距離制運賃）",IF(手引き!$C$74="○","（時間制運賃）",IF(手引き!$C$79="○","（定額制運賃）","")))</f>
        <v/>
      </c>
      <c r="Q67" s="52" t="str">
        <f>IF(手引き!$B$63="設定しない","設定しない","")</f>
        <v/>
      </c>
      <c r="W67" s="91"/>
      <c r="X67" s="91"/>
      <c r="Y67" s="91"/>
      <c r="Z67" s="91"/>
      <c r="AA67" s="91"/>
      <c r="AB67" s="91"/>
      <c r="AC67" s="91"/>
      <c r="AD67" s="91"/>
      <c r="AE67" s="91"/>
      <c r="AF67" s="91"/>
      <c r="AG67" s="91"/>
      <c r="AH67" s="91"/>
      <c r="AI67" s="91"/>
      <c r="AJ67" s="91"/>
      <c r="AK67" s="91"/>
    </row>
    <row r="68" spans="1:39" ht="15.75" customHeight="1" x14ac:dyDescent="0.2">
      <c r="A68" s="51" t="s">
        <v>41</v>
      </c>
      <c r="B68" s="52" t="str">
        <f>IF($Q$67="設定しない","",IF(手引き!$C$65="○","初乗運賃","運賃"))</f>
        <v>運賃</v>
      </c>
      <c r="W68" s="91"/>
      <c r="X68" s="91"/>
      <c r="Y68" s="91"/>
      <c r="Z68" s="99"/>
      <c r="AA68" s="91"/>
      <c r="AB68" s="91"/>
      <c r="AC68" s="91"/>
      <c r="AD68" s="91"/>
      <c r="AE68" s="91"/>
      <c r="AF68" s="91"/>
      <c r="AG68" s="91"/>
      <c r="AH68" s="91"/>
      <c r="AI68" s="91"/>
      <c r="AJ68" s="91"/>
      <c r="AK68" s="91"/>
    </row>
    <row r="69" spans="1:39" ht="15.75" customHeight="1" x14ac:dyDescent="0.2">
      <c r="A69" s="90"/>
      <c r="B69" s="91"/>
      <c r="C69" s="91"/>
      <c r="D69" s="91" t="str">
        <f>IF($Q$67="設定しない","",IF(R69="","",$X$3))</f>
        <v/>
      </c>
      <c r="E69" s="91"/>
      <c r="F69" s="91"/>
      <c r="G69" s="91"/>
      <c r="H69" s="91" t="str">
        <f>IF(手引き!G66&gt;0,手引き!G66,IF(手引き!G75&gt;0,手引き!G75,""))</f>
        <v/>
      </c>
      <c r="I69" s="91" t="str">
        <f>IF(手引き!G66&gt;0,"キロメートルまで",IF(手引き!G75&gt;0,"分間までごとに",IF(手引き!I80&gt;0,"１回","")))</f>
        <v/>
      </c>
      <c r="J69" s="91"/>
      <c r="K69" s="91"/>
      <c r="L69" s="91"/>
      <c r="M69" s="91"/>
      <c r="N69" s="91"/>
      <c r="O69" s="91"/>
      <c r="P69" s="91"/>
      <c r="Q69" s="91"/>
      <c r="R69" s="517" t="str">
        <f>IF(手引き!G66&gt;0,手引き!I66,IF(手引き!G75&gt;0,手引き!I75,IF(手引き!I80&gt;0,手引き!I80,"")))</f>
        <v/>
      </c>
      <c r="S69" s="517"/>
      <c r="T69" s="91" t="str">
        <f>IF(R69="","","円")</f>
        <v/>
      </c>
      <c r="V69" s="91"/>
      <c r="W69" s="91"/>
      <c r="X69" s="91"/>
      <c r="Y69" s="91"/>
      <c r="Z69" s="91"/>
      <c r="AA69" s="91"/>
      <c r="AB69" s="91"/>
      <c r="AC69" s="91"/>
      <c r="AD69" s="91"/>
      <c r="AE69" s="91"/>
      <c r="AF69" s="91"/>
      <c r="AG69" s="91"/>
      <c r="AH69" s="91"/>
      <c r="AI69" s="91"/>
      <c r="AJ69" s="91"/>
      <c r="AK69" s="91"/>
    </row>
    <row r="70" spans="1:39" ht="14.25" customHeight="1" x14ac:dyDescent="0.2">
      <c r="A70" s="51"/>
      <c r="D70" s="52" t="str">
        <f>IF($Q$67="設定しない","",IF(R70="","",$X$4))</f>
        <v/>
      </c>
      <c r="H70" s="112" t="str">
        <f>IF($Q$67="設定しない","",IF(手引き!G68&gt;0,手引き!G68,IF(手引き!G76&gt;0,手引き!G76,"")))</f>
        <v/>
      </c>
      <c r="I70" s="52" t="str">
        <f>IF($Q$67="設定しない","",IF(手引き!G68&gt;0,"キロメートルまで",IF(手引き!G76&gt;0,"分間までごとに",IF(手引き!I81&gt;0,"１回",""))))</f>
        <v/>
      </c>
      <c r="R70" s="517" t="str">
        <f>IF($Q$67="設定しない","",IF(手引き!G68&gt;0,手引き!I68,IF(手引き!G76&gt;0,手引き!I76,IF(手引き!I81&gt;0,手引き!I81,""))))</f>
        <v/>
      </c>
      <c r="S70" s="517"/>
      <c r="T70" s="52" t="str">
        <f>IF(R70="","","円")</f>
        <v/>
      </c>
      <c r="V70" s="91"/>
      <c r="W70" s="91"/>
      <c r="X70" s="91"/>
      <c r="Y70" s="91"/>
      <c r="Z70" s="91"/>
      <c r="AA70" s="91"/>
      <c r="AB70" s="91"/>
      <c r="AC70" s="91"/>
      <c r="AD70" s="91"/>
      <c r="AE70" s="91"/>
      <c r="AF70" s="91"/>
      <c r="AG70" s="91"/>
      <c r="AH70" s="91"/>
      <c r="AI70" s="91"/>
      <c r="AJ70" s="91"/>
      <c r="AK70" s="91"/>
      <c r="AL70" s="73"/>
      <c r="AM70" s="73"/>
    </row>
    <row r="71" spans="1:39" ht="14.25" customHeight="1" x14ac:dyDescent="0.2">
      <c r="A71" s="51"/>
      <c r="D71" s="91" t="str">
        <f>IF($Q$67="設定しない","",IF(R71="","",$X$5))</f>
        <v/>
      </c>
      <c r="H71" s="112" t="str">
        <f>IF($Q$67="設定しない","",IF(手引き!G70&gt;0,手引き!G70,IF(手引き!G77&gt;0,手引き!G77,"")))</f>
        <v/>
      </c>
      <c r="I71" s="91" t="str">
        <f>IF($Q$67="設定しない","",IF(手引き!G70&gt;0,"キロメートルまで",IF(手引き!G77&gt;0,"分間までごとに",IF(手引き!I82&gt;0,"１回",""))))</f>
        <v/>
      </c>
      <c r="R71" s="517" t="str">
        <f>IF($Q$67="設定しない","",IF(手引き!G70&gt;0,手引き!I70,IF(手引き!G77&gt;0,手引き!I77,IF(手引き!I82&gt;0,手引き!I82,""))))</f>
        <v/>
      </c>
      <c r="S71" s="517"/>
      <c r="T71" s="52" t="str">
        <f>IF(R71="","","円")</f>
        <v/>
      </c>
      <c r="V71" s="91"/>
      <c r="W71" s="91"/>
      <c r="X71" s="91"/>
      <c r="Y71" s="91"/>
      <c r="Z71" s="91"/>
      <c r="AA71" s="91"/>
      <c r="AB71" s="91"/>
      <c r="AC71" s="91"/>
      <c r="AD71" s="91"/>
      <c r="AE71" s="91"/>
      <c r="AF71" s="91"/>
      <c r="AG71" s="91"/>
      <c r="AH71" s="91"/>
      <c r="AI71" s="91"/>
      <c r="AJ71" s="91"/>
      <c r="AK71" s="91"/>
      <c r="AL71" s="73"/>
      <c r="AM71" s="73"/>
    </row>
    <row r="72" spans="1:39" ht="14.25" customHeight="1" x14ac:dyDescent="0.2">
      <c r="A72" s="51"/>
      <c r="D72" s="52" t="e">
        <f>IF($X$6="","",IF($Q$67="設定しない","",IF(R72="","",$X$6)))</f>
        <v>#N/A</v>
      </c>
      <c r="H72" s="112" t="e">
        <f>IF($Q$67="設定しない","",IF($X$6="","",IF(手引き!G72&gt;0,手引き!G72,IF(手引き!G78&gt;0,手引き!G78,""))))</f>
        <v>#N/A</v>
      </c>
      <c r="I72" s="52" t="e">
        <f>IF($Q$67="設定しない","",IF($X$6="","",IF(手引き!G72&gt;0,"キロメートルまで",IF(手引き!G78&gt;0,"分間までごとに",IF(手引き!G83&gt;0,"１回","")))))</f>
        <v>#N/A</v>
      </c>
      <c r="R72" s="517" t="e">
        <f>IF($Q$67="設定しない","",IF($X$6="","",IF(手引き!G72&gt;0,手引き!I72,IF(手引き!G78&gt;0,手引き!I78,IF(手引き!I83&gt;0,手引き!I83,"")))))</f>
        <v>#N/A</v>
      </c>
      <c r="S72" s="517"/>
      <c r="T72" s="52" t="e">
        <f>IF($X$6="","",IF(R72="","","円"))</f>
        <v>#N/A</v>
      </c>
      <c r="V72" s="91"/>
      <c r="W72" s="91"/>
      <c r="X72" s="91"/>
      <c r="Y72" s="91"/>
      <c r="Z72" s="91"/>
      <c r="AA72" s="91"/>
      <c r="AB72" s="91"/>
      <c r="AC72" s="91"/>
      <c r="AD72" s="91"/>
      <c r="AE72" s="91"/>
      <c r="AF72" s="91"/>
      <c r="AG72" s="91"/>
      <c r="AH72" s="91"/>
      <c r="AI72" s="91"/>
      <c r="AJ72" s="91"/>
      <c r="AK72" s="91"/>
      <c r="AL72" s="73"/>
      <c r="AM72" s="73"/>
    </row>
    <row r="73" spans="1:39" ht="14.25" customHeight="1" x14ac:dyDescent="0.2">
      <c r="A73" s="51"/>
      <c r="B73" s="52" t="str">
        <f>IF($Q$67="設定しない","",IF(手引き!$C$65="○","加算運賃",""))</f>
        <v/>
      </c>
      <c r="H73" s="111"/>
      <c r="R73" s="89"/>
      <c r="S73" s="89"/>
      <c r="W73" s="91"/>
      <c r="X73" s="91"/>
      <c r="Y73" s="91"/>
      <c r="Z73" s="91"/>
      <c r="AA73" s="91"/>
      <c r="AB73" s="91"/>
      <c r="AC73" s="91"/>
      <c r="AD73" s="91"/>
      <c r="AE73" s="91"/>
      <c r="AF73" s="91"/>
      <c r="AG73" s="91"/>
      <c r="AH73" s="91"/>
      <c r="AI73" s="91"/>
      <c r="AJ73" s="91"/>
      <c r="AK73" s="91"/>
      <c r="AL73" s="73"/>
      <c r="AM73" s="73"/>
    </row>
    <row r="74" spans="1:39" ht="14.25" customHeight="1" x14ac:dyDescent="0.2">
      <c r="A74" s="90"/>
      <c r="B74" s="91"/>
      <c r="C74" s="91"/>
      <c r="D74" s="91" t="str">
        <f>IF(手引き!G67&gt;0,X3,"")</f>
        <v/>
      </c>
      <c r="E74" s="91"/>
      <c r="F74" s="91"/>
      <c r="G74" s="91"/>
      <c r="H74" s="112" t="str">
        <f>IF(手引き!G67&gt;0,手引き!G67,"")</f>
        <v/>
      </c>
      <c r="I74" s="91" t="str">
        <f>IF(H74="","","メートルまでごとに")</f>
        <v/>
      </c>
      <c r="J74" s="91"/>
      <c r="K74" s="91"/>
      <c r="L74" s="91"/>
      <c r="M74" s="91"/>
      <c r="N74" s="91"/>
      <c r="O74" s="91"/>
      <c r="P74" s="91"/>
      <c r="Q74" s="91"/>
      <c r="R74" s="517" t="str">
        <f>IF(手引き!I67&gt;0,手引き!I67,"")</f>
        <v/>
      </c>
      <c r="S74" s="517"/>
      <c r="T74" s="91" t="str">
        <f>IF(R74="","","円")</f>
        <v/>
      </c>
      <c r="W74" s="91"/>
      <c r="X74" s="91"/>
      <c r="Y74" s="91"/>
      <c r="Z74" s="91"/>
      <c r="AA74" s="91"/>
      <c r="AB74" s="91"/>
      <c r="AC74" s="91"/>
      <c r="AD74" s="91"/>
      <c r="AE74" s="91"/>
      <c r="AF74" s="91"/>
      <c r="AG74" s="91"/>
      <c r="AH74" s="91"/>
      <c r="AI74" s="91"/>
      <c r="AJ74" s="91"/>
      <c r="AK74" s="91"/>
      <c r="AL74" s="73"/>
      <c r="AM74" s="73"/>
    </row>
    <row r="75" spans="1:39" ht="14.25" customHeight="1" x14ac:dyDescent="0.2">
      <c r="A75" s="51"/>
      <c r="D75" s="52" t="str">
        <f>IF($Q$67="設定しない","",IF(手引き!G69&gt;0,X4,""))</f>
        <v/>
      </c>
      <c r="H75" s="112" t="str">
        <f>IF($Q$67="設定しない","",IF(手引き!G69&gt;0,手引き!G69,""))</f>
        <v/>
      </c>
      <c r="I75" s="52" t="str">
        <f>IF(H75="","","メートルまでごとに")</f>
        <v/>
      </c>
      <c r="R75" s="517" t="str">
        <f>IF($Q$67="設定しない","",IF(手引き!I69&gt;0,手引き!I69,""))</f>
        <v/>
      </c>
      <c r="S75" s="517"/>
      <c r="T75" s="52" t="str">
        <f>IF(R75="","","円")</f>
        <v/>
      </c>
      <c r="W75" s="91"/>
      <c r="X75" s="91"/>
      <c r="Y75" s="91"/>
      <c r="Z75" s="91"/>
      <c r="AA75" s="91"/>
      <c r="AB75" s="91"/>
      <c r="AC75" s="91"/>
      <c r="AD75" s="91"/>
      <c r="AE75" s="91"/>
      <c r="AF75" s="91"/>
      <c r="AG75" s="91"/>
      <c r="AH75" s="91"/>
      <c r="AI75" s="91"/>
      <c r="AJ75" s="91"/>
      <c r="AK75" s="73"/>
      <c r="AL75" s="73"/>
      <c r="AM75" s="73"/>
    </row>
    <row r="76" spans="1:39" ht="14.25" customHeight="1" x14ac:dyDescent="0.2">
      <c r="A76" s="51"/>
      <c r="D76" s="91" t="str">
        <f>IF($Q$67="設定しない","",IF(手引き!G71&gt;0,X5,""))</f>
        <v/>
      </c>
      <c r="H76" s="112" t="str">
        <f>IF($Q$67="設定しない","",IF(手引き!G71&gt;0,手引き!G71,""))</f>
        <v/>
      </c>
      <c r="I76" s="91" t="str">
        <f>IF(H76="","","メートルまでごとに")</f>
        <v/>
      </c>
      <c r="R76" s="517" t="str">
        <f>IF($Q$67="設定しない","",IF(手引き!I71&gt;0,手引き!I71,""))</f>
        <v/>
      </c>
      <c r="S76" s="517"/>
      <c r="T76" s="52" t="str">
        <f>IF(R76="","","円")</f>
        <v/>
      </c>
      <c r="W76" s="91"/>
      <c r="X76" s="91"/>
      <c r="Y76" s="91"/>
      <c r="Z76" s="99"/>
      <c r="AA76" s="91"/>
      <c r="AB76" s="91"/>
      <c r="AC76" s="91"/>
      <c r="AD76" s="91"/>
      <c r="AE76" s="91"/>
      <c r="AF76" s="91"/>
      <c r="AG76" s="91"/>
      <c r="AH76" s="91"/>
      <c r="AI76" s="91"/>
      <c r="AJ76" s="91"/>
      <c r="AK76" s="73"/>
      <c r="AL76" s="73"/>
      <c r="AM76" s="73"/>
    </row>
    <row r="77" spans="1:39" ht="14.25" customHeight="1" x14ac:dyDescent="0.2">
      <c r="D77" s="91" t="str">
        <f>IF($Q$67="設定しない","",IF(手引き!G73&gt;0,X6,""))</f>
        <v/>
      </c>
      <c r="H77" s="112" t="e">
        <f>IF($Q$67="設定しない","",IF($X$6="","",IF(手引き!G73&gt;0,手引き!G73,"")))</f>
        <v>#N/A</v>
      </c>
      <c r="I77" s="52" t="e">
        <f>IF($X$6="","",IF(H77="","","メートルまでごとに"))</f>
        <v>#N/A</v>
      </c>
      <c r="R77" s="517" t="e">
        <f>IF($Q$67="設定しない","",IF($X$6="","",IF(手引き!I73&gt;0,手引き!I73,"")))</f>
        <v>#N/A</v>
      </c>
      <c r="S77" s="517"/>
      <c r="T77" s="52" t="e">
        <f>IF(R77="","","円")</f>
        <v>#N/A</v>
      </c>
      <c r="W77" s="91"/>
      <c r="X77" s="91"/>
      <c r="Y77" s="91"/>
      <c r="Z77" s="91"/>
      <c r="AA77" s="91"/>
      <c r="AB77" s="91"/>
      <c r="AC77" s="91"/>
      <c r="AD77" s="91"/>
      <c r="AE77" s="91"/>
      <c r="AF77" s="91"/>
      <c r="AG77" s="91"/>
      <c r="AH77" s="91"/>
      <c r="AI77" s="91"/>
      <c r="AJ77" s="91"/>
      <c r="AK77" s="73"/>
      <c r="AL77" s="73"/>
      <c r="AM77" s="73"/>
    </row>
    <row r="78" spans="1:39" ht="14.25" customHeight="1" x14ac:dyDescent="0.2">
      <c r="V78" s="91"/>
      <c r="W78" s="91"/>
      <c r="X78" s="91"/>
      <c r="Y78" s="91"/>
      <c r="Z78" s="91"/>
      <c r="AA78" s="91"/>
      <c r="AB78" s="91"/>
      <c r="AC78" s="91"/>
      <c r="AD78" s="91"/>
      <c r="AE78" s="91"/>
      <c r="AF78" s="91"/>
      <c r="AG78" s="91"/>
      <c r="AH78" s="91"/>
      <c r="AI78" s="91"/>
      <c r="AJ78" s="91"/>
      <c r="AK78" s="73"/>
      <c r="AL78" s="73"/>
      <c r="AM78" s="73"/>
    </row>
    <row r="79" spans="1:39" ht="12.75" customHeight="1" x14ac:dyDescent="0.2">
      <c r="A79" s="69" t="s">
        <v>284</v>
      </c>
      <c r="V79" s="91"/>
      <c r="W79" s="91"/>
      <c r="X79" s="91"/>
      <c r="Y79" s="91"/>
      <c r="Z79" s="91"/>
      <c r="AA79" s="91"/>
      <c r="AB79" s="91"/>
      <c r="AC79" s="91"/>
      <c r="AD79" s="91"/>
      <c r="AE79" s="91"/>
      <c r="AF79" s="91"/>
      <c r="AG79" s="91"/>
      <c r="AH79" s="91"/>
      <c r="AI79" s="91"/>
      <c r="AJ79" s="91"/>
      <c r="AK79" s="73"/>
      <c r="AL79" s="73"/>
      <c r="AM79" s="73"/>
    </row>
    <row r="80" spans="1:39" ht="12.75" customHeight="1" x14ac:dyDescent="0.2">
      <c r="B80" s="69" t="s">
        <v>285</v>
      </c>
      <c r="V80" s="91"/>
      <c r="W80" s="91"/>
      <c r="X80" s="91"/>
      <c r="Y80" s="91"/>
      <c r="Z80" s="91"/>
      <c r="AA80" s="91"/>
      <c r="AB80" s="91"/>
      <c r="AC80" s="91"/>
      <c r="AD80" s="91"/>
      <c r="AE80" s="91"/>
      <c r="AF80" s="91"/>
      <c r="AG80" s="91"/>
      <c r="AH80" s="91"/>
      <c r="AI80" s="91"/>
      <c r="AJ80" s="91"/>
      <c r="AK80" s="73"/>
      <c r="AL80" s="73"/>
      <c r="AM80" s="73"/>
    </row>
    <row r="81" spans="4:39" ht="12.75" customHeight="1" x14ac:dyDescent="0.2">
      <c r="D81" s="52" t="e">
        <f>IF(HLOOKUP($X$8,名前2!C:J,2,0)=0,"",HLOOKUP($X$8,名前2!C:J,2,0))</f>
        <v>#N/A</v>
      </c>
      <c r="H81" s="52" t="e">
        <f>IF(INDEX(手引き!$AL:$AS,V81,MATCH($X$8,手引き!$AL$1:$AS$1,0)+1)=0,"",INDEX(手引き!$AL:$AS,V81,MATCH($X$8,手引き!$AL$1:$AS$1,0)+1))</f>
        <v>#N/A</v>
      </c>
      <c r="V81" s="52">
        <v>2</v>
      </c>
      <c r="W81" s="91"/>
      <c r="X81" s="91"/>
      <c r="Y81" s="91"/>
      <c r="Z81" s="91"/>
      <c r="AA81" s="91"/>
      <c r="AB81" s="91"/>
      <c r="AC81" s="91"/>
      <c r="AD81" s="91"/>
      <c r="AE81" s="91"/>
      <c r="AF81" s="91"/>
      <c r="AG81" s="91"/>
      <c r="AH81" s="91"/>
      <c r="AI81" s="91"/>
      <c r="AJ81" s="91"/>
      <c r="AK81" s="73"/>
      <c r="AL81" s="73"/>
      <c r="AM81" s="73"/>
    </row>
    <row r="82" spans="4:39" ht="12.75" customHeight="1" x14ac:dyDescent="0.2">
      <c r="D82" s="52" t="e">
        <f>IF(HLOOKUP($X$8,名前2!C:J,3,0)=0,"",HLOOKUP($X$8,名前2!C:J,3,0))</f>
        <v>#N/A</v>
      </c>
      <c r="H82" s="91" t="e">
        <f>IF(INDEX(手引き!$AL:$AS,V82,MATCH($X$8,手引き!$AL$1:$AS$1,0)+1)=0,"",INDEX(手引き!$AL:$AS,V82,MATCH($X$8,手引き!$AL$1:$AS$1,0)+1))</f>
        <v>#N/A</v>
      </c>
      <c r="V82" s="52">
        <v>3</v>
      </c>
      <c r="W82" s="91"/>
      <c r="X82" s="91"/>
      <c r="Y82" s="91"/>
      <c r="Z82" s="91"/>
      <c r="AA82" s="91"/>
      <c r="AB82" s="91"/>
      <c r="AC82" s="91"/>
      <c r="AD82" s="91"/>
      <c r="AE82" s="91"/>
      <c r="AF82" s="91"/>
      <c r="AG82" s="91"/>
      <c r="AH82" s="91"/>
      <c r="AI82" s="91"/>
      <c r="AJ82" s="91"/>
      <c r="AK82" s="73"/>
      <c r="AL82" s="73"/>
      <c r="AM82" s="73"/>
    </row>
    <row r="83" spans="4:39" ht="12.75" customHeight="1" x14ac:dyDescent="0.2">
      <c r="D83" s="52" t="e">
        <f>IF(HLOOKUP($X$8,名前2!C:J,4,0)=0,"",HLOOKUP($X$8,名前2!C:J,4,0))</f>
        <v>#N/A</v>
      </c>
      <c r="H83" s="91" t="e">
        <f>IF(INDEX(手引き!$AL:$AS,V83,MATCH($X$8,手引き!$AL$1:$AS$1,0)+1)=0,"",INDEX(手引き!$AL:$AS,V83,MATCH($X$8,手引き!$AL$1:$AS$1,0)+1))</f>
        <v>#N/A</v>
      </c>
      <c r="V83" s="91">
        <v>4</v>
      </c>
      <c r="W83" s="91"/>
      <c r="X83" s="91"/>
      <c r="Y83" s="91"/>
      <c r="Z83" s="91"/>
      <c r="AA83" s="91"/>
      <c r="AB83" s="91"/>
      <c r="AC83" s="91"/>
      <c r="AD83" s="91"/>
      <c r="AE83" s="91"/>
      <c r="AF83" s="91"/>
      <c r="AG83" s="91"/>
      <c r="AH83" s="91"/>
      <c r="AI83" s="91"/>
      <c r="AJ83" s="91"/>
      <c r="AK83" s="73"/>
      <c r="AL83" s="73"/>
      <c r="AM83" s="73"/>
    </row>
    <row r="84" spans="4:39" ht="12.75" customHeight="1" x14ac:dyDescent="0.2">
      <c r="D84" s="52" t="e">
        <f>IF(HLOOKUP($X$8,名前2!C:J,5,0)=0,"",HLOOKUP($X$8,名前2!C:J,5,0))</f>
        <v>#N/A</v>
      </c>
      <c r="H84" s="91" t="e">
        <f>IF(INDEX(手引き!$AL:$AS,V84,MATCH($X$8,手引き!$AL$1:$AS$1,0)+1)=0,"",INDEX(手引き!$AL:$AS,V84,MATCH($X$8,手引き!$AL$1:$AS$1,0)+1))</f>
        <v>#N/A</v>
      </c>
      <c r="V84" s="91">
        <v>5</v>
      </c>
      <c r="W84" s="91"/>
      <c r="X84" s="91"/>
      <c r="Y84" s="91"/>
      <c r="Z84" s="99"/>
      <c r="AA84" s="91"/>
      <c r="AB84" s="91"/>
      <c r="AC84" s="91"/>
      <c r="AD84" s="91"/>
      <c r="AE84" s="91"/>
      <c r="AF84" s="91"/>
      <c r="AG84" s="91"/>
      <c r="AH84" s="91"/>
      <c r="AI84" s="91"/>
      <c r="AJ84" s="91"/>
      <c r="AK84" s="73"/>
      <c r="AL84" s="73"/>
      <c r="AM84" s="73"/>
    </row>
    <row r="85" spans="4:39" ht="12.75" customHeight="1" x14ac:dyDescent="0.2">
      <c r="D85" s="52" t="e">
        <f>IF(HLOOKUP($X$8,名前2!C:J,6,0)=0,"",HLOOKUP($X$8,名前2!C:J,6,0))</f>
        <v>#N/A</v>
      </c>
      <c r="H85" s="91" t="e">
        <f>IF(INDEX(手引き!$AL:$AS,V85,MATCH($X$8,手引き!$AL$1:$AS$1,0)+1)=0,"",INDEX(手引き!$AL:$AS,V85,MATCH($X$8,手引き!$AL$1:$AS$1,0)+1))</f>
        <v>#N/A</v>
      </c>
      <c r="V85" s="91">
        <v>6</v>
      </c>
      <c r="W85" s="91"/>
      <c r="X85" s="91"/>
      <c r="Y85" s="91"/>
      <c r="Z85" s="91"/>
      <c r="AA85" s="91"/>
      <c r="AB85" s="91"/>
      <c r="AC85" s="91"/>
      <c r="AD85" s="91"/>
      <c r="AE85" s="91"/>
      <c r="AF85" s="91"/>
      <c r="AG85" s="91"/>
      <c r="AH85" s="91"/>
      <c r="AI85" s="91"/>
      <c r="AJ85" s="91"/>
      <c r="AK85" s="73"/>
      <c r="AL85" s="73"/>
      <c r="AM85" s="73"/>
    </row>
    <row r="86" spans="4:39" ht="12.75" customHeight="1" x14ac:dyDescent="0.2">
      <c r="D86" s="52" t="e">
        <f>IF(HLOOKUP($X$8,名前2!C:J,7,0)=0,"",HLOOKUP($X$8,名前2!C:J,7,0))</f>
        <v>#N/A</v>
      </c>
      <c r="H86" s="91" t="e">
        <f>IF(INDEX(手引き!$AL:$AS,V86,MATCH($X$8,手引き!$AL$1:$AS$1,0)+1)=0,"",INDEX(手引き!$AL:$AS,V86,MATCH($X$8,手引き!$AL$1:$AS$1,0)+1))</f>
        <v>#N/A</v>
      </c>
      <c r="V86" s="91">
        <v>7</v>
      </c>
      <c r="W86" s="91"/>
      <c r="X86" s="91"/>
      <c r="Y86" s="91"/>
      <c r="Z86" s="91"/>
      <c r="AA86" s="91"/>
      <c r="AB86" s="91"/>
      <c r="AC86" s="91"/>
      <c r="AD86" s="91"/>
      <c r="AE86" s="91"/>
      <c r="AF86" s="91"/>
      <c r="AG86" s="91"/>
      <c r="AH86" s="91"/>
      <c r="AI86" s="91"/>
      <c r="AJ86" s="91"/>
    </row>
    <row r="87" spans="4:39" ht="12.75" customHeight="1" x14ac:dyDescent="0.2">
      <c r="D87" s="52" t="e">
        <f>IF(HLOOKUP($X$8,名前2!C:J,8,0)=0,"",HLOOKUP($X$8,名前2!C:J,8,0))</f>
        <v>#N/A</v>
      </c>
      <c r="H87" s="91" t="e">
        <f>IF(INDEX(手引き!$AL:$AS,V87,MATCH($X$8,手引き!$AL$1:$AS$1,0)+1)=0,"",INDEX(手引き!$AL:$AS,V87,MATCH($X$8,手引き!$AL$1:$AS$1,0)+1))</f>
        <v>#N/A</v>
      </c>
      <c r="V87" s="91">
        <v>8</v>
      </c>
      <c r="W87" s="91"/>
      <c r="X87" s="91"/>
      <c r="Y87" s="91"/>
      <c r="Z87" s="91"/>
      <c r="AA87" s="91"/>
      <c r="AB87" s="91"/>
      <c r="AC87" s="91"/>
      <c r="AD87" s="91"/>
      <c r="AE87" s="91"/>
      <c r="AF87" s="91"/>
      <c r="AG87" s="91"/>
      <c r="AH87" s="91"/>
      <c r="AI87" s="91"/>
      <c r="AJ87" s="91"/>
    </row>
    <row r="88" spans="4:39" ht="12.75" customHeight="1" x14ac:dyDescent="0.2">
      <c r="D88" s="52" t="e">
        <f>IF(HLOOKUP($X$8,名前2!C:J,9,0)=0,"",HLOOKUP($X$8,名前2!C:J,9,0))</f>
        <v>#N/A</v>
      </c>
      <c r="H88" s="91" t="e">
        <f>IF(INDEX(手引き!$AL:$AS,V88,MATCH($X$8,手引き!$AL$1:$AS$1,0)+1)=0,"",INDEX(手引き!$AL:$AS,V88,MATCH($X$8,手引き!$AL$1:$AS$1,0)+1))</f>
        <v>#N/A</v>
      </c>
      <c r="V88" s="91">
        <v>9</v>
      </c>
      <c r="W88" s="91"/>
      <c r="X88" s="91"/>
      <c r="Y88" s="91"/>
      <c r="Z88" s="91"/>
      <c r="AA88" s="91"/>
      <c r="AB88" s="91"/>
      <c r="AC88" s="91"/>
      <c r="AD88" s="91"/>
      <c r="AE88" s="91"/>
      <c r="AF88" s="91"/>
      <c r="AG88" s="91"/>
      <c r="AH88" s="91"/>
      <c r="AI88" s="91"/>
      <c r="AJ88" s="91"/>
    </row>
    <row r="89" spans="4:39" ht="12.75" customHeight="1" x14ac:dyDescent="0.2">
      <c r="D89" s="52" t="e">
        <f>IF(HLOOKUP($X$8,名前2!C:J,10,0)=0,"",HLOOKUP($X$8,名前2!C:J,10,0))</f>
        <v>#N/A</v>
      </c>
      <c r="H89" s="91" t="e">
        <f>IF(INDEX(手引き!$AL:$AS,V89,MATCH($X$8,手引き!$AL$1:$AS$1,0)+1)=0,"",INDEX(手引き!$AL:$AS,V89,MATCH($X$8,手引き!$AL$1:$AS$1,0)+1))</f>
        <v>#N/A</v>
      </c>
      <c r="V89" s="91">
        <v>10</v>
      </c>
      <c r="W89" s="91"/>
      <c r="X89" s="91"/>
      <c r="Y89" s="91"/>
      <c r="Z89" s="91"/>
      <c r="AA89" s="91"/>
      <c r="AB89" s="91"/>
      <c r="AC89" s="91"/>
      <c r="AD89" s="91"/>
      <c r="AE89" s="91"/>
      <c r="AF89" s="91"/>
      <c r="AG89" s="91"/>
      <c r="AH89" s="91"/>
      <c r="AI89" s="91"/>
      <c r="AJ89" s="91"/>
    </row>
    <row r="90" spans="4:39" ht="12.75" customHeight="1" x14ac:dyDescent="0.2">
      <c r="D90" s="52" t="e">
        <f>IF(HLOOKUP($X$8,名前2!C:J,11,0)=0,"",HLOOKUP($X$8,名前2!C:J,11,0))</f>
        <v>#N/A</v>
      </c>
      <c r="H90" s="91" t="e">
        <f>IF(INDEX(手引き!$AL:$AS,V90,MATCH($X$8,手引き!$AL$1:$AS$1,0)+1)=0,"",INDEX(手引き!$AL:$AS,V90,MATCH($X$8,手引き!$AL$1:$AS$1,0)+1))</f>
        <v>#N/A</v>
      </c>
      <c r="V90" s="91">
        <v>11</v>
      </c>
      <c r="W90" s="91"/>
      <c r="X90" s="91"/>
      <c r="Y90" s="91"/>
      <c r="Z90" s="91"/>
      <c r="AA90" s="91"/>
      <c r="AB90" s="91"/>
      <c r="AC90" s="91"/>
      <c r="AD90" s="91"/>
      <c r="AE90" s="91"/>
      <c r="AF90" s="91"/>
      <c r="AG90" s="91"/>
      <c r="AH90" s="91"/>
      <c r="AI90" s="91"/>
      <c r="AJ90" s="91"/>
    </row>
    <row r="91" spans="4:39" ht="12.75" customHeight="1" x14ac:dyDescent="0.2">
      <c r="D91" s="52" t="e">
        <f>IF(HLOOKUP($X$8,名前2!C:J,12,0)=0,"",HLOOKUP($X$8,名前2!C:J,12,0))</f>
        <v>#N/A</v>
      </c>
      <c r="H91" s="91" t="e">
        <f>IF(INDEX(手引き!$AL:$AS,V91,MATCH($X$8,手引き!$AL$1:$AS$1,0)+1)=0,"",INDEX(手引き!$AL:$AS,V91,MATCH($X$8,手引き!$AL$1:$AS$1,0)+1))</f>
        <v>#N/A</v>
      </c>
      <c r="V91" s="91">
        <v>12</v>
      </c>
      <c r="W91" s="91"/>
      <c r="X91" s="91"/>
      <c r="Y91" s="91"/>
      <c r="Z91" s="91"/>
      <c r="AA91" s="91"/>
      <c r="AB91" s="91"/>
      <c r="AC91" s="91"/>
      <c r="AD91" s="91"/>
      <c r="AE91" s="91"/>
      <c r="AF91" s="91"/>
      <c r="AG91" s="91"/>
      <c r="AH91" s="91"/>
      <c r="AI91" s="91"/>
      <c r="AJ91" s="91"/>
      <c r="AK91" s="91"/>
    </row>
    <row r="92" spans="4:39" ht="12.75" customHeight="1" x14ac:dyDescent="0.2">
      <c r="D92" s="52" t="e">
        <f>IF(HLOOKUP($X$8,名前2!C:J,13,0)=0,"",HLOOKUP($X$8,名前2!C:J,13,0))</f>
        <v>#N/A</v>
      </c>
      <c r="H92" s="91" t="e">
        <f>IF(INDEX(手引き!$AL:$AS,V92,MATCH($X$8,手引き!$AL$1:$AS$1,0)+1)=0,"",INDEX(手引き!$AL:$AS,V92,MATCH($X$8,手引き!$AL$1:$AS$1,0)+1))</f>
        <v>#N/A</v>
      </c>
      <c r="V92" s="91">
        <v>13</v>
      </c>
      <c r="W92" s="91"/>
      <c r="X92" s="91"/>
      <c r="Y92" s="91"/>
      <c r="Z92" s="99"/>
      <c r="AA92" s="91"/>
      <c r="AB92" s="91"/>
      <c r="AC92" s="91"/>
      <c r="AD92" s="91"/>
      <c r="AE92" s="91"/>
      <c r="AF92" s="91"/>
      <c r="AG92" s="91"/>
      <c r="AH92" s="91"/>
      <c r="AI92" s="91"/>
      <c r="AJ92" s="91"/>
      <c r="AK92" s="91"/>
    </row>
    <row r="93" spans="4:39" ht="12.75" customHeight="1" x14ac:dyDescent="0.2">
      <c r="D93" s="52" t="e">
        <f>IF(HLOOKUP($X$8,名前2!C:J,14,0)=0,"",HLOOKUP($X$8,名前2!C:J,14,0))</f>
        <v>#N/A</v>
      </c>
      <c r="H93" s="91" t="e">
        <f>IF(INDEX(手引き!$AL:$AS,V93,MATCH($X$8,手引き!$AL$1:$AS$1,0)+1)=0,"",INDEX(手引き!$AL:$AS,V93,MATCH($X$8,手引き!$AL$1:$AS$1,0)+1))</f>
        <v>#N/A</v>
      </c>
      <c r="V93" s="91">
        <v>14</v>
      </c>
      <c r="W93" s="91"/>
      <c r="X93" s="91"/>
      <c r="Y93" s="91"/>
      <c r="Z93" s="91"/>
      <c r="AA93" s="91"/>
      <c r="AB93" s="91"/>
      <c r="AC93" s="91"/>
      <c r="AD93" s="91"/>
      <c r="AE93" s="91"/>
      <c r="AF93" s="91"/>
      <c r="AG93" s="91"/>
      <c r="AH93" s="91"/>
      <c r="AI93" s="91"/>
      <c r="AJ93" s="91"/>
      <c r="AK93" s="91"/>
    </row>
    <row r="94" spans="4:39" ht="12.75" customHeight="1" x14ac:dyDescent="0.2">
      <c r="D94" s="52" t="e">
        <f>IF(HLOOKUP($X$8,名前2!C:J,15,0)=0,"",HLOOKUP($X$8,名前2!C:J,15,0))</f>
        <v>#N/A</v>
      </c>
      <c r="H94" s="91" t="e">
        <f>IF(INDEX(手引き!$AL:$AS,V94,MATCH($X$8,手引き!$AL$1:$AS$1,0)+1)=0,"",INDEX(手引き!$AL:$AS,V94,MATCH($X$8,手引き!$AL$1:$AS$1,0)+1))</f>
        <v>#N/A</v>
      </c>
      <c r="V94" s="91">
        <v>15</v>
      </c>
      <c r="W94" s="91"/>
      <c r="X94" s="91"/>
      <c r="Y94" s="91"/>
      <c r="Z94" s="91"/>
      <c r="AA94" s="91"/>
      <c r="AB94" s="91"/>
      <c r="AC94" s="91"/>
      <c r="AD94" s="91"/>
      <c r="AE94" s="91"/>
      <c r="AF94" s="91"/>
      <c r="AG94" s="91"/>
      <c r="AH94" s="91"/>
      <c r="AI94" s="91"/>
      <c r="AJ94" s="91"/>
      <c r="AK94" s="91"/>
    </row>
    <row r="95" spans="4:39" ht="12.75" customHeight="1" x14ac:dyDescent="0.2">
      <c r="D95" s="52" t="e">
        <f>IF(HLOOKUP($X$8,名前2!C:J,16,0)=0,"",HLOOKUP($X$8,名前2!C:J,16,0))</f>
        <v>#N/A</v>
      </c>
      <c r="H95" s="91" t="e">
        <f>IF(INDEX(手引き!$AL:$AS,V95,MATCH($X$8,手引き!$AL$1:$AS$1,0)+1)=0,"",INDEX(手引き!$AL:$AS,V95,MATCH($X$8,手引き!$AL$1:$AS$1,0)+1))</f>
        <v>#N/A</v>
      </c>
      <c r="V95" s="91">
        <v>16</v>
      </c>
      <c r="W95" s="91"/>
      <c r="X95" s="91"/>
      <c r="Y95" s="91"/>
      <c r="Z95" s="91"/>
      <c r="AA95" s="91"/>
      <c r="AB95" s="91"/>
      <c r="AC95" s="91"/>
      <c r="AD95" s="91"/>
      <c r="AE95" s="91"/>
      <c r="AF95" s="91"/>
      <c r="AG95" s="91"/>
      <c r="AH95" s="91"/>
      <c r="AI95" s="91"/>
      <c r="AJ95" s="91"/>
      <c r="AK95" s="91"/>
    </row>
    <row r="96" spans="4:39" ht="12.75" customHeight="1" x14ac:dyDescent="0.2">
      <c r="D96" s="52" t="e">
        <f>IF(HLOOKUP($X$8,名前2!C:J,17,0)=0,"",HLOOKUP($X$8,名前2!C:J,17,0))</f>
        <v>#N/A</v>
      </c>
      <c r="H96" s="91" t="e">
        <f>IF(INDEX(手引き!$AL:$AS,V96,MATCH($X$8,手引き!$AL$1:$AS$1,0)+1)=0,"",INDEX(手引き!$AL:$AS,V96,MATCH($X$8,手引き!$AL$1:$AS$1,0)+1))</f>
        <v>#N/A</v>
      </c>
      <c r="V96" s="91">
        <v>17</v>
      </c>
      <c r="W96" s="91"/>
      <c r="X96" s="91"/>
      <c r="Y96" s="91"/>
      <c r="Z96" s="91"/>
      <c r="AA96" s="91"/>
      <c r="AB96" s="91"/>
      <c r="AC96" s="91"/>
      <c r="AD96" s="91"/>
      <c r="AE96" s="91"/>
      <c r="AF96" s="91"/>
      <c r="AG96" s="91"/>
      <c r="AH96" s="91"/>
      <c r="AI96" s="91"/>
      <c r="AJ96" s="91"/>
      <c r="AK96" s="91"/>
    </row>
    <row r="97" spans="4:37" ht="12.75" customHeight="1" x14ac:dyDescent="0.2">
      <c r="D97" s="52" t="e">
        <f>IF(HLOOKUP($X$8,名前2!C:J,18,0)=0,"",HLOOKUP($X$8,名前2!C:J,18,0))</f>
        <v>#N/A</v>
      </c>
      <c r="H97" s="91" t="e">
        <f>IF(INDEX(手引き!$AL:$AS,V97,MATCH($X$8,手引き!$AL$1:$AS$1,0)+1)=0,"",INDEX(手引き!$AL:$AS,V97,MATCH($X$8,手引き!$AL$1:$AS$1,0)+1))</f>
        <v>#N/A</v>
      </c>
      <c r="V97" s="91">
        <v>18</v>
      </c>
      <c r="W97" s="91"/>
      <c r="X97" s="91"/>
      <c r="Y97" s="91"/>
      <c r="Z97" s="91"/>
      <c r="AA97" s="91"/>
      <c r="AB97" s="91"/>
      <c r="AC97" s="91"/>
      <c r="AD97" s="91"/>
      <c r="AE97" s="91"/>
      <c r="AF97" s="91"/>
      <c r="AG97" s="91"/>
      <c r="AH97" s="91"/>
      <c r="AI97" s="91"/>
      <c r="AJ97" s="91"/>
      <c r="AK97" s="91"/>
    </row>
    <row r="98" spans="4:37" ht="12.75" customHeight="1" x14ac:dyDescent="0.2">
      <c r="D98" s="52" t="e">
        <f>IF(HLOOKUP($X$8,名前2!C:J,19,0)=0,"",HLOOKUP($X$8,名前2!C:J,19,0))</f>
        <v>#N/A</v>
      </c>
      <c r="H98" s="91" t="e">
        <f>IF(INDEX(手引き!$AL:$AS,V98,MATCH($X$8,手引き!$AL$1:$AS$1,0)+1)=0,"",INDEX(手引き!$AL:$AS,V98,MATCH($X$8,手引き!$AL$1:$AS$1,0)+1))</f>
        <v>#N/A</v>
      </c>
      <c r="V98" s="91">
        <v>19</v>
      </c>
      <c r="W98" s="91"/>
      <c r="X98" s="91"/>
      <c r="Y98" s="91"/>
      <c r="Z98" s="91"/>
      <c r="AA98" s="91"/>
      <c r="AB98" s="91"/>
      <c r="AC98" s="91"/>
      <c r="AD98" s="91"/>
      <c r="AE98" s="91"/>
      <c r="AF98" s="91"/>
      <c r="AG98" s="91"/>
      <c r="AH98" s="91"/>
      <c r="AI98" s="91"/>
      <c r="AJ98" s="91"/>
      <c r="AK98" s="91"/>
    </row>
    <row r="99" spans="4:37" ht="12.75" customHeight="1" x14ac:dyDescent="0.2">
      <c r="D99" s="52" t="e">
        <f>IF(HLOOKUP($X$8,名前2!C:J,20,0)=0,"",HLOOKUP($X$8,名前2!C:J,20,0))</f>
        <v>#N/A</v>
      </c>
      <c r="H99" s="91" t="e">
        <f>IF(INDEX(手引き!$AL:$AS,V99,MATCH($X$8,手引き!$AL$1:$AS$1,0)+1)=0,"",INDEX(手引き!$AL:$AS,V99,MATCH($X$8,手引き!$AL$1:$AS$1,0)+1))</f>
        <v>#N/A</v>
      </c>
      <c r="V99" s="91">
        <v>20</v>
      </c>
      <c r="W99" s="91"/>
      <c r="X99" s="91"/>
      <c r="Y99" s="91"/>
      <c r="Z99" s="91"/>
      <c r="AA99" s="91"/>
      <c r="AB99" s="91"/>
      <c r="AC99" s="91"/>
      <c r="AD99" s="91"/>
      <c r="AE99" s="91"/>
      <c r="AF99" s="91"/>
      <c r="AG99" s="91"/>
      <c r="AH99" s="91"/>
      <c r="AI99" s="91"/>
      <c r="AJ99" s="91"/>
      <c r="AK99" s="91"/>
    </row>
    <row r="100" spans="4:37" ht="12.75" customHeight="1" x14ac:dyDescent="0.2">
      <c r="D100" s="91" t="e">
        <f>IF(HLOOKUP($X$8,名前2!C:J,21,0)=0,"",HLOOKUP($X$8,名前2!C:J,21,0))</f>
        <v>#N/A</v>
      </c>
      <c r="H100" s="91" t="e">
        <f>IF(INDEX(手引き!$AL:$AS,V100,MATCH($X$8,手引き!$AL$1:$AS$1,0)+1)=0,"",INDEX(手引き!$AL:$AS,V100,MATCH($X$8,手引き!$AL$1:$AS$1,0)+1))</f>
        <v>#N/A</v>
      </c>
      <c r="I100" s="107"/>
      <c r="J100" s="107"/>
      <c r="K100" s="107"/>
      <c r="L100" s="107"/>
      <c r="M100" s="107"/>
      <c r="N100" s="107"/>
      <c r="O100" s="107"/>
      <c r="P100" s="107"/>
      <c r="Q100" s="107"/>
      <c r="R100" s="107"/>
      <c r="S100" s="107"/>
      <c r="T100" s="107"/>
      <c r="V100" s="91">
        <v>21</v>
      </c>
      <c r="W100" s="91"/>
      <c r="X100" s="91"/>
      <c r="Y100" s="91"/>
      <c r="Z100" s="99"/>
      <c r="AA100" s="91"/>
      <c r="AB100" s="91"/>
      <c r="AC100" s="91"/>
      <c r="AD100" s="91"/>
      <c r="AE100" s="91"/>
      <c r="AF100" s="91"/>
      <c r="AG100" s="91"/>
      <c r="AH100" s="91"/>
      <c r="AI100" s="91"/>
      <c r="AJ100" s="91"/>
      <c r="AK100" s="91"/>
    </row>
    <row r="101" spans="4:37" ht="12.75" customHeight="1" x14ac:dyDescent="0.2">
      <c r="D101" s="52" t="e">
        <f>IF(HLOOKUP($X$8,名前2!C:J,22,0)=0,"",HLOOKUP($X$8,名前2!C:J,22,0))</f>
        <v>#N/A</v>
      </c>
      <c r="H101" s="91" t="e">
        <f>IF(INDEX(手引き!$AL:$AS,V101,MATCH($X$8,手引き!$AL$1:$AS$1,0)+1)=0,"",INDEX(手引き!$AL:$AS,V101,MATCH($X$8,手引き!$AL$1:$AS$1,0)+1))</f>
        <v>#N/A</v>
      </c>
      <c r="V101" s="91">
        <v>22</v>
      </c>
      <c r="W101" s="91"/>
      <c r="X101" s="91"/>
      <c r="Y101" s="91"/>
      <c r="Z101" s="91"/>
      <c r="AA101" s="91"/>
      <c r="AB101" s="91"/>
      <c r="AC101" s="91"/>
      <c r="AD101" s="91"/>
      <c r="AE101" s="91"/>
      <c r="AF101" s="91"/>
      <c r="AG101" s="91"/>
      <c r="AH101" s="91"/>
      <c r="AI101" s="91"/>
      <c r="AJ101" s="91"/>
      <c r="AK101" s="91"/>
    </row>
    <row r="102" spans="4:37" ht="12.75" customHeight="1" x14ac:dyDescent="0.2">
      <c r="D102" s="52" t="e">
        <f>IF(HLOOKUP($X$8,名前2!C:J,23,0)=0,"",HLOOKUP($X$8,名前2!C:J,23,0))</f>
        <v>#N/A</v>
      </c>
      <c r="H102" s="91" t="e">
        <f>IF(INDEX(手引き!$AL:$AS,V102,MATCH($X$8,手引き!$AL$1:$AS$1,0)+1)=0,"",INDEX(手引き!$AL:$AS,V102,MATCH($X$8,手引き!$AL$1:$AS$1,0)+1))</f>
        <v>#N/A</v>
      </c>
      <c r="V102" s="91">
        <v>23</v>
      </c>
      <c r="W102" s="91"/>
      <c r="X102" s="91"/>
      <c r="Y102" s="91"/>
      <c r="Z102" s="91"/>
      <c r="AA102" s="91"/>
      <c r="AB102" s="91"/>
      <c r="AC102" s="91"/>
      <c r="AD102" s="91"/>
      <c r="AE102" s="91"/>
      <c r="AF102" s="91"/>
      <c r="AG102" s="91"/>
      <c r="AH102" s="91"/>
      <c r="AI102" s="91"/>
      <c r="AJ102" s="91"/>
      <c r="AK102" s="91"/>
    </row>
    <row r="103" spans="4:37" ht="12.75" customHeight="1" x14ac:dyDescent="0.2">
      <c r="D103" s="52" t="e">
        <f>IF(HLOOKUP($X$8,名前2!C:J,24,0)=0,"",HLOOKUP($X$8,名前2!C:J,24,0))</f>
        <v>#N/A</v>
      </c>
      <c r="H103" s="91" t="e">
        <f>IF(INDEX(手引き!$AL:$AS,V103,MATCH($X$8,手引き!$AL$1:$AS$1,0)+1)=0,"",INDEX(手引き!$AL:$AS,V103,MATCH($X$8,手引き!$AL$1:$AS$1,0)+1))</f>
        <v>#N/A</v>
      </c>
      <c r="V103" s="91">
        <v>24</v>
      </c>
      <c r="W103" s="91"/>
      <c r="X103" s="91"/>
      <c r="Y103" s="91"/>
      <c r="Z103" s="91"/>
      <c r="AA103" s="91"/>
      <c r="AB103" s="91"/>
      <c r="AC103" s="91"/>
      <c r="AD103" s="91"/>
      <c r="AE103" s="91"/>
      <c r="AF103" s="91"/>
      <c r="AG103" s="91"/>
      <c r="AH103" s="91"/>
      <c r="AI103" s="91"/>
      <c r="AJ103" s="91"/>
      <c r="AK103" s="91"/>
    </row>
    <row r="104" spans="4:37" ht="12.75" customHeight="1" x14ac:dyDescent="0.2">
      <c r="D104" s="52" t="e">
        <f>IF(HLOOKUP($X$8,名前2!C:J,25,0)=0,"",HLOOKUP($X$8,名前2!C:J,25,0))</f>
        <v>#N/A</v>
      </c>
      <c r="H104" s="91" t="e">
        <f>IF(INDEX(手引き!$AL:$AS,V104,MATCH($X$8,手引き!$AL$1:$AS$1,0)+1)=0,"",INDEX(手引き!$AL:$AS,V104,MATCH($X$8,手引き!$AL$1:$AS$1,0)+1))</f>
        <v>#N/A</v>
      </c>
      <c r="V104" s="91">
        <v>25</v>
      </c>
      <c r="W104" s="91"/>
      <c r="X104" s="91"/>
      <c r="Y104" s="91"/>
      <c r="Z104" s="91"/>
      <c r="AA104" s="91"/>
      <c r="AB104" s="91"/>
      <c r="AC104" s="91"/>
      <c r="AD104" s="91"/>
      <c r="AE104" s="91"/>
      <c r="AF104" s="91"/>
      <c r="AG104" s="91"/>
      <c r="AH104" s="91"/>
      <c r="AI104" s="91"/>
      <c r="AJ104" s="91"/>
      <c r="AK104" s="91"/>
    </row>
    <row r="105" spans="4:37" ht="12.75" customHeight="1" x14ac:dyDescent="0.2">
      <c r="D105" s="52" t="e">
        <f>IF(HLOOKUP($X$8,名前2!C:J,26,0)=0,"",HLOOKUP($X$8,名前2!C:J,26,0))</f>
        <v>#N/A</v>
      </c>
      <c r="H105" s="91" t="e">
        <f>IF(INDEX(手引き!$AL:$AS,V105,MATCH($X$8,手引き!$AL$1:$AS$1,0)+1)=0,"",INDEX(手引き!$AL:$AS,V105,MATCH($X$8,手引き!$AL$1:$AS$1,0)+1))</f>
        <v>#N/A</v>
      </c>
      <c r="V105" s="91">
        <v>26</v>
      </c>
      <c r="W105" s="91"/>
      <c r="X105" s="91"/>
      <c r="Y105" s="91"/>
      <c r="Z105" s="91"/>
      <c r="AA105" s="91"/>
      <c r="AB105" s="91"/>
      <c r="AC105" s="91"/>
      <c r="AD105" s="91"/>
      <c r="AE105" s="91"/>
      <c r="AF105" s="91"/>
      <c r="AG105" s="91"/>
      <c r="AH105" s="91"/>
      <c r="AI105" s="91"/>
      <c r="AJ105" s="91"/>
      <c r="AK105" s="91"/>
    </row>
    <row r="106" spans="4:37" ht="12.75" customHeight="1" x14ac:dyDescent="0.2">
      <c r="D106" s="52" t="e">
        <f>IF(HLOOKUP($X$8,名前2!C:J,27,0)=0,"",HLOOKUP($X$8,名前2!C:J,27,0))</f>
        <v>#N/A</v>
      </c>
      <c r="H106" s="91" t="e">
        <f>IF(INDEX(手引き!$AL:$AS,V106,MATCH($X$8,手引き!$AL$1:$AS$1,0)+1)=0,"",INDEX(手引き!$AL:$AS,V106,MATCH($X$8,手引き!$AL$1:$AS$1,0)+1))</f>
        <v>#N/A</v>
      </c>
      <c r="V106" s="91">
        <v>27</v>
      </c>
      <c r="W106" s="91"/>
      <c r="X106" s="91"/>
      <c r="Y106" s="91"/>
      <c r="Z106" s="91"/>
      <c r="AA106" s="91"/>
      <c r="AB106" s="91"/>
      <c r="AC106" s="91"/>
      <c r="AD106" s="91"/>
      <c r="AE106" s="91"/>
      <c r="AF106" s="91"/>
      <c r="AG106" s="91"/>
      <c r="AH106" s="91"/>
      <c r="AI106" s="91"/>
      <c r="AJ106" s="91"/>
      <c r="AK106" s="91"/>
    </row>
    <row r="107" spans="4:37" ht="12.75" customHeight="1" x14ac:dyDescent="0.2">
      <c r="D107" s="52" t="e">
        <f>IF(HLOOKUP($X$8,名前2!C:J,28,0)=0,"",HLOOKUP($X$8,名前2!C:J,28,0))</f>
        <v>#N/A</v>
      </c>
      <c r="H107" s="91" t="e">
        <f>IF(INDEX(手引き!$AL:$AS,V107,MATCH($X$8,手引き!$AL$1:$AS$1,0)+1)=0,"",INDEX(手引き!$AL:$AS,V107,MATCH($X$8,手引き!$AL$1:$AS$1,0)+1))</f>
        <v>#N/A</v>
      </c>
      <c r="V107" s="91">
        <v>28</v>
      </c>
      <c r="W107" s="91"/>
      <c r="X107" s="91"/>
      <c r="Y107" s="91"/>
      <c r="Z107" s="91"/>
      <c r="AA107" s="91"/>
      <c r="AB107" s="91"/>
      <c r="AC107" s="91"/>
      <c r="AD107" s="91"/>
      <c r="AE107" s="91"/>
      <c r="AF107" s="91"/>
      <c r="AG107" s="91"/>
      <c r="AH107" s="91"/>
      <c r="AI107" s="91"/>
      <c r="AJ107" s="91"/>
    </row>
    <row r="108" spans="4:37" ht="12.75" customHeight="1" x14ac:dyDescent="0.2">
      <c r="D108" s="52" t="e">
        <f>IF(HLOOKUP($X$8,名前2!C:J,29,0)=0,"",HLOOKUP($X$8,名前2!C:J,29,0))</f>
        <v>#N/A</v>
      </c>
      <c r="H108" s="91" t="e">
        <f>IF(INDEX(手引き!$AL:$AS,V108,MATCH($X$8,手引き!$AL$1:$AS$1,0)+1)=0,"",INDEX(手引き!$AL:$AS,V108,MATCH($X$8,手引き!$AL$1:$AS$1,0)+1))</f>
        <v>#N/A</v>
      </c>
      <c r="V108" s="91">
        <v>29</v>
      </c>
      <c r="W108" s="91"/>
      <c r="X108" s="91"/>
      <c r="Y108" s="91"/>
      <c r="Z108" s="99"/>
      <c r="AA108" s="91"/>
      <c r="AB108" s="91"/>
      <c r="AC108" s="91"/>
      <c r="AD108" s="91"/>
      <c r="AE108" s="91"/>
      <c r="AF108" s="91"/>
      <c r="AG108" s="91"/>
      <c r="AH108" s="91"/>
      <c r="AI108" s="91"/>
      <c r="AJ108" s="91"/>
    </row>
    <row r="109" spans="4:37" ht="12.75" customHeight="1" x14ac:dyDescent="0.2">
      <c r="D109" s="52" t="e">
        <f>IF(HLOOKUP($X$8,名前2!C:J,30,0)=0,"",HLOOKUP($X$8,名前2!C:J,30,0))</f>
        <v>#N/A</v>
      </c>
      <c r="H109" s="91" t="e">
        <f>IF(INDEX(手引き!$AL:$AS,V109,MATCH($X$8,手引き!$AL$1:$AS$1,0)+1)=0,"",INDEX(手引き!$AL:$AS,V109,MATCH($X$8,手引き!$AL$1:$AS$1,0)+1))</f>
        <v>#N/A</v>
      </c>
      <c r="U109" s="71"/>
      <c r="V109" s="91">
        <v>30</v>
      </c>
      <c r="W109" s="91"/>
      <c r="X109" s="91"/>
      <c r="Y109" s="91"/>
      <c r="Z109" s="91"/>
      <c r="AA109" s="91"/>
      <c r="AB109" s="91"/>
      <c r="AC109" s="91"/>
      <c r="AD109" s="91"/>
      <c r="AE109" s="91"/>
      <c r="AF109" s="91"/>
      <c r="AG109" s="91"/>
      <c r="AH109" s="91"/>
      <c r="AI109" s="91"/>
      <c r="AJ109" s="91"/>
    </row>
    <row r="110" spans="4:37" ht="12.75" customHeight="1" x14ac:dyDescent="0.2">
      <c r="D110" s="52" t="e">
        <f>IF(HLOOKUP($X$8,名前2!C:J,31,0)=0,"",HLOOKUP($X$8,名前2!C:J,31,0))</f>
        <v>#N/A</v>
      </c>
      <c r="H110" s="91" t="e">
        <f>IF(INDEX(手引き!$AL:$AS,V110,MATCH($X$8,手引き!$AL$1:$AS$1,0)+1)=0,"",INDEX(手引き!$AL:$AS,V110,MATCH($X$8,手引き!$AL$1:$AS$1,0)+1))</f>
        <v>#N/A</v>
      </c>
      <c r="U110" s="71"/>
      <c r="V110" s="91">
        <v>31</v>
      </c>
      <c r="W110" s="91"/>
      <c r="X110" s="91"/>
      <c r="Y110" s="91"/>
      <c r="Z110" s="91"/>
      <c r="AA110" s="91"/>
      <c r="AB110" s="91"/>
      <c r="AC110" s="91"/>
      <c r="AD110" s="91"/>
      <c r="AE110" s="91"/>
      <c r="AF110" s="91"/>
      <c r="AG110" s="91"/>
      <c r="AH110" s="91"/>
      <c r="AI110" s="91"/>
      <c r="AJ110" s="91"/>
    </row>
    <row r="111" spans="4:37" ht="12.75" customHeight="1" x14ac:dyDescent="0.2">
      <c r="D111" s="52" t="e">
        <f>IF(HLOOKUP($X$8,名前2!C:J,32,0)=0,"",HLOOKUP($X$8,名前2!C:J,32,0))</f>
        <v>#N/A</v>
      </c>
      <c r="H111" s="91" t="e">
        <f>IF(INDEX(手引き!$AL:$AS,V111,MATCH($X$8,手引き!$AL$1:$AS$1,0)+1)=0,"",INDEX(手引き!$AL:$AS,V111,MATCH($X$8,手引き!$AL$1:$AS$1,0)+1))</f>
        <v>#N/A</v>
      </c>
      <c r="U111" s="71"/>
      <c r="V111" s="91">
        <v>32</v>
      </c>
      <c r="W111" s="91"/>
      <c r="X111" s="91"/>
      <c r="Y111" s="91"/>
      <c r="Z111" s="91"/>
      <c r="AA111" s="91"/>
      <c r="AB111" s="91"/>
      <c r="AC111" s="91"/>
      <c r="AD111" s="91"/>
      <c r="AE111" s="91"/>
      <c r="AF111" s="91"/>
      <c r="AG111" s="91"/>
      <c r="AH111" s="91"/>
      <c r="AI111" s="91"/>
      <c r="AJ111" s="91"/>
    </row>
    <row r="112" spans="4:37" ht="12.75" customHeight="1" x14ac:dyDescent="0.2">
      <c r="D112" s="52" t="e">
        <f>IF(HLOOKUP($X$8,名前2!C:J,33,0)=0,"",HLOOKUP($X$8,名前2!C:J,33,0))</f>
        <v>#N/A</v>
      </c>
      <c r="H112" s="91" t="e">
        <f>IF(INDEX(手引き!$AL:$AS,V112,MATCH($X$8,手引き!$AL$1:$AS$1,0)+1)=0,"",INDEX(手引き!$AL:$AS,V112,MATCH($X$8,手引き!$AL$1:$AS$1,0)+1))</f>
        <v>#N/A</v>
      </c>
      <c r="U112" s="71"/>
      <c r="V112" s="91">
        <v>33</v>
      </c>
      <c r="W112" s="91"/>
      <c r="X112" s="91"/>
      <c r="Y112" s="91"/>
      <c r="Z112" s="91"/>
      <c r="AA112" s="91"/>
      <c r="AB112" s="91"/>
      <c r="AC112" s="91"/>
      <c r="AD112" s="91"/>
      <c r="AE112" s="91"/>
      <c r="AF112" s="91"/>
      <c r="AG112" s="91"/>
      <c r="AH112" s="91"/>
      <c r="AI112" s="91"/>
      <c r="AJ112" s="91"/>
    </row>
    <row r="113" spans="2:38" ht="12.75" customHeight="1" x14ac:dyDescent="0.2">
      <c r="D113" s="52" t="e">
        <f>IF(HLOOKUP($X$8,名前2!C:J,34,0)=0,"",HLOOKUP($X$8,名前2!C:J,3,0))</f>
        <v>#N/A</v>
      </c>
      <c r="H113" s="91" t="e">
        <f>IF(INDEX(手引き!$AL:$AS,V113,MATCH($X$8,手引き!$AL$1:$AS$1,0)+1)=0,"",INDEX(手引き!$AL:$AS,V113,MATCH($X$8,手引き!$AL$1:$AS$1,0)+1))</f>
        <v>#N/A</v>
      </c>
      <c r="U113" s="71"/>
      <c r="V113" s="91">
        <v>34</v>
      </c>
      <c r="W113" s="91"/>
      <c r="X113" s="91"/>
      <c r="Y113" s="91"/>
      <c r="Z113" s="91"/>
      <c r="AA113" s="91"/>
      <c r="AB113" s="91"/>
      <c r="AC113" s="91"/>
      <c r="AD113" s="91"/>
      <c r="AE113" s="91"/>
      <c r="AF113" s="91"/>
      <c r="AG113" s="91"/>
      <c r="AH113" s="91"/>
      <c r="AI113" s="91"/>
      <c r="AJ113" s="91"/>
    </row>
    <row r="114" spans="2:38" ht="12.75" customHeight="1" x14ac:dyDescent="0.2">
      <c r="D114" s="52" t="e">
        <f>IF(HLOOKUP($X$8,名前2!C:J,35,0)=0,"",HLOOKUP($X$8,名前2!C:J,35,0))</f>
        <v>#N/A</v>
      </c>
      <c r="H114" s="91" t="e">
        <f>IF(INDEX(手引き!$AL:$AS,V114,MATCH($X$8,手引き!$AL$1:$AS$1,0)+1)=0,"",INDEX(手引き!$AL:$AS,V114,MATCH($X$8,手引き!$AL$1:$AS$1,0)+1))</f>
        <v>#N/A</v>
      </c>
      <c r="U114" s="71"/>
      <c r="V114" s="91">
        <v>35</v>
      </c>
      <c r="W114" s="91"/>
      <c r="X114" s="91"/>
      <c r="Y114" s="91"/>
      <c r="Z114" s="91"/>
      <c r="AA114" s="91"/>
      <c r="AB114" s="91"/>
      <c r="AC114" s="91"/>
      <c r="AD114" s="91"/>
      <c r="AE114" s="91"/>
      <c r="AF114" s="91"/>
      <c r="AG114" s="91"/>
      <c r="AH114" s="91"/>
      <c r="AI114" s="91"/>
      <c r="AJ114" s="91"/>
    </row>
    <row r="115" spans="2:38" ht="12.75" customHeight="1" x14ac:dyDescent="0.2">
      <c r="D115" s="52" t="e">
        <f>IF(HLOOKUP($X$8,名前2!C:J,36,0)=0,"",HLOOKUP($X$8,名前2!C:J,36,0))</f>
        <v>#N/A</v>
      </c>
      <c r="H115" s="91" t="e">
        <f>IF(INDEX(手引き!$AL:$AS,V115,MATCH($X$8,手引き!$AL$1:$AS$1,0)+1)=0,"",INDEX(手引き!$AL:$AS,V115,MATCH($X$8,手引き!$AL$1:$AS$1,0)+1))</f>
        <v>#N/A</v>
      </c>
      <c r="U115" s="71"/>
      <c r="V115" s="91">
        <v>36</v>
      </c>
    </row>
    <row r="116" spans="2:38" ht="12.75" customHeight="1" x14ac:dyDescent="0.2">
      <c r="D116" s="52" t="e">
        <f>IF(HLOOKUP($X$8,名前2!C:J,37,0)=0,"",HLOOKUP($X$8,名前2!C:J,37,0))</f>
        <v>#N/A</v>
      </c>
      <c r="H116" s="91" t="e">
        <f>IF(INDEX(手引き!$AL:$AS,V116,MATCH($X$8,手引き!$AL$1:$AS$1,0)+1)=0,"",INDEX(手引き!$AL:$AS,V116,MATCH($X$8,手引き!$AL$1:$AS$1,0)+1))</f>
        <v>#N/A</v>
      </c>
      <c r="U116" s="71"/>
      <c r="V116" s="91">
        <v>37</v>
      </c>
    </row>
    <row r="117" spans="2:38" ht="12.75" customHeight="1" x14ac:dyDescent="0.2">
      <c r="D117" s="52" t="e">
        <f>IF(HLOOKUP($X$8,名前2!C:J,38,0)=0,"",HLOOKUP($X$8,名前2!C:J,38,0))</f>
        <v>#N/A</v>
      </c>
      <c r="H117" s="91" t="e">
        <f>IF(INDEX(手引き!$AL:$AS,V117,MATCH($X$8,手引き!$AL$1:$AS$1,0)+1)=0,"",INDEX(手引き!$AL:$AS,V117,MATCH($X$8,手引き!$AL$1:$AS$1,0)+1))</f>
        <v>#N/A</v>
      </c>
      <c r="U117" s="71"/>
      <c r="V117" s="91">
        <v>38</v>
      </c>
    </row>
    <row r="118" spans="2:38" ht="13.5" customHeight="1" x14ac:dyDescent="0.2">
      <c r="D118" s="52" t="e">
        <f>IF(HLOOKUP($X$8,名前2!C:J,39,0)=0,"",HLOOKUP($X$8,名前2!C:J,39,0))</f>
        <v>#N/A</v>
      </c>
      <c r="H118" s="91" t="e">
        <f>IF(INDEX(手引き!$AL:$AS,V118,MATCH($X$8,手引き!$AL$1:$AS$1,0)+1)=0,"",INDEX(手引き!$AL:$AS,V118,MATCH($X$8,手引き!$AL$1:$AS$1,0)+1))</f>
        <v>#N/A</v>
      </c>
      <c r="U118" s="71"/>
      <c r="V118" s="91">
        <v>39</v>
      </c>
    </row>
    <row r="119" spans="2:38" ht="12" customHeight="1" x14ac:dyDescent="0.2">
      <c r="D119" s="52" t="e">
        <f>IF(HLOOKUP($X$8,名前2!C:J,40,0)=0,"",HLOOKUP($X$8,名前2!C:J,40,0))</f>
        <v>#N/A</v>
      </c>
      <c r="H119" s="91" t="e">
        <f>IF(INDEX(手引き!$AL:$AS,V119,MATCH($X$8,手引き!$AL$1:$AS$1,0)+1)=0,"",INDEX(手引き!$AL:$AS,V119,MATCH($X$8,手引き!$AL$1:$AS$1,0)+1))</f>
        <v>#N/A</v>
      </c>
      <c r="U119" s="71"/>
      <c r="V119" s="91">
        <v>40</v>
      </c>
    </row>
    <row r="120" spans="2:38" ht="12" customHeight="1" x14ac:dyDescent="0.2">
      <c r="U120" s="71"/>
      <c r="V120" s="52">
        <v>1</v>
      </c>
      <c r="W120" s="80" t="str">
        <f t="shared" ref="W120:W121" si="0">IF(X120="","","・")</f>
        <v>・</v>
      </c>
      <c r="X120" s="519" t="str">
        <f>IF($Q$121="","知的障害者割引は、療育手帳制度要綱（昭和48年９月27日、厚生事務次官通知）に規定する知的障害者の療育手帳の交付を受けている者について適用する。","")</f>
        <v>知的障害者割引は、療育手帳制度要綱（昭和48年９月27日、厚生事務次官通知）に規定する知的障害者の療育手帳の交付を受けている者について適用する。</v>
      </c>
      <c r="Y120" s="519"/>
      <c r="Z120" s="519"/>
      <c r="AA120" s="519"/>
      <c r="AB120" s="519"/>
      <c r="AC120" s="519"/>
      <c r="AD120" s="519"/>
      <c r="AE120" s="519"/>
      <c r="AF120" s="519"/>
      <c r="AG120" s="519"/>
      <c r="AH120" s="519"/>
      <c r="AI120" s="519"/>
      <c r="AJ120" s="519"/>
      <c r="AK120" s="519"/>
      <c r="AL120" s="519"/>
    </row>
    <row r="121" spans="2:38" ht="12" customHeight="1" x14ac:dyDescent="0.2">
      <c r="B121" s="82" t="s">
        <v>286</v>
      </c>
      <c r="C121" s="81"/>
      <c r="D121" s="81"/>
      <c r="E121" s="81"/>
      <c r="F121" s="81"/>
      <c r="G121" s="81"/>
      <c r="H121" s="81"/>
      <c r="I121" s="81"/>
      <c r="J121" s="81"/>
      <c r="K121" s="81"/>
      <c r="L121" s="81"/>
      <c r="M121" s="81"/>
      <c r="N121" s="81"/>
      <c r="O121" s="81"/>
      <c r="P121" s="81"/>
      <c r="Q121" s="81" t="str">
        <f>IF(手引き!C24="○","設定しない","")</f>
        <v/>
      </c>
      <c r="R121" s="81"/>
      <c r="S121" s="81"/>
      <c r="T121" s="81"/>
      <c r="U121" s="71"/>
      <c r="V121" s="80" t="str">
        <f>IF($X121&lt;&gt;"",MAX(V$120:V120)+1,"")</f>
        <v/>
      </c>
      <c r="W121" s="80" t="str">
        <f t="shared" si="0"/>
        <v/>
      </c>
      <c r="X121" s="519" t="str">
        <f>IF($Q$121="設定しない","",IF(手引き!$B$57="設定する","精神障害者割引は、精神保健及び精神障害者福祉に関する法律に規定する精神障害者保健福祉手帳の交付を受けている者について適用する。",""))</f>
        <v/>
      </c>
      <c r="Y121" s="519"/>
      <c r="Z121" s="519"/>
      <c r="AA121" s="519"/>
      <c r="AB121" s="519"/>
      <c r="AC121" s="519"/>
      <c r="AD121" s="519"/>
      <c r="AE121" s="519"/>
      <c r="AF121" s="519"/>
      <c r="AG121" s="519"/>
      <c r="AH121" s="519"/>
      <c r="AI121" s="519"/>
      <c r="AJ121" s="519"/>
      <c r="AK121" s="519"/>
      <c r="AL121" s="519"/>
    </row>
    <row r="122" spans="2:38" ht="12" customHeight="1" x14ac:dyDescent="0.2">
      <c r="B122" s="80" t="str">
        <f>IF(OR(U122=0,U122=""),"",VLOOKUP(COUNTIF($U$122:U122,"・"),名前2!$A$18:$B$44,2,0))</f>
        <v>イ</v>
      </c>
      <c r="C122" s="519" t="str">
        <f>IF($Q$121="設定しない","",IF(手引き!$C48="○","距離制運賃及び迎車回送料金は、メーター器の表示額による。","距離制運賃は、メーター器の表示額による。"))</f>
        <v>距離制運賃は、メーター器の表示額による。</v>
      </c>
      <c r="D122" s="519"/>
      <c r="E122" s="519"/>
      <c r="F122" s="519"/>
      <c r="G122" s="519"/>
      <c r="H122" s="519"/>
      <c r="I122" s="519"/>
      <c r="J122" s="519"/>
      <c r="K122" s="519"/>
      <c r="L122" s="519"/>
      <c r="M122" s="519"/>
      <c r="N122" s="519"/>
      <c r="O122" s="519"/>
      <c r="P122" s="519"/>
      <c r="Q122" s="519"/>
      <c r="R122" s="519"/>
      <c r="S122" s="519"/>
      <c r="T122" s="519"/>
      <c r="U122" s="95" t="str">
        <f>IF(C122="","","・")</f>
        <v>・</v>
      </c>
      <c r="V122" s="80" t="str">
        <f>IF($X122&lt;&gt;"",MAX(V$120:V121)+1,"")</f>
        <v/>
      </c>
      <c r="W122" s="80" t="s">
        <v>129</v>
      </c>
      <c r="X122" s="519" t="str">
        <f>IF($Q$121="設定しない","",IF(手引き!$B$58="設定する","高齢者割引は、公的機関が発行した年齢を確認できる書面等の提示をした65歳以上の者について適用する。",""))</f>
        <v/>
      </c>
      <c r="Y122" s="519"/>
      <c r="Z122" s="519"/>
      <c r="AA122" s="519"/>
      <c r="AB122" s="519"/>
      <c r="AC122" s="519"/>
      <c r="AD122" s="519"/>
      <c r="AE122" s="519"/>
      <c r="AF122" s="519"/>
      <c r="AG122" s="519"/>
      <c r="AH122" s="519"/>
      <c r="AI122" s="519"/>
      <c r="AJ122" s="519"/>
      <c r="AK122" s="519"/>
      <c r="AL122" s="519"/>
    </row>
    <row r="123" spans="2:38" ht="12" customHeight="1" x14ac:dyDescent="0.2">
      <c r="B123" s="95" t="str">
        <f>IF(OR(U123=0,U123=""),"",VLOOKUP(COUNTIF($U$122:U123,"・"),名前2!$A$18:$B$44,2,0))</f>
        <v>ロ</v>
      </c>
      <c r="C123" s="519" t="str">
        <f>IF($Q$121="設定しない","","運送契約は営業所のみにおいて行い、運転者と旅客との運送契約は認めない。")</f>
        <v>運送契約は営業所のみにおいて行い、運転者と旅客との運送契約は認めない。</v>
      </c>
      <c r="D123" s="519"/>
      <c r="E123" s="519"/>
      <c r="F123" s="519"/>
      <c r="G123" s="519"/>
      <c r="H123" s="519"/>
      <c r="I123" s="519"/>
      <c r="J123" s="519"/>
      <c r="K123" s="519"/>
      <c r="L123" s="519"/>
      <c r="M123" s="519"/>
      <c r="N123" s="519"/>
      <c r="O123" s="519"/>
      <c r="P123" s="519"/>
      <c r="Q123" s="519"/>
      <c r="R123" s="519"/>
      <c r="S123" s="519"/>
      <c r="T123" s="519"/>
      <c r="U123" s="95" t="str">
        <f>IF(C123="","","・")</f>
        <v>・</v>
      </c>
      <c r="V123" s="80" t="str">
        <f>IF($X123&lt;&gt;"",MAX(V$120:V122)+1,"")</f>
        <v/>
      </c>
      <c r="W123" s="95" t="s">
        <v>129</v>
      </c>
      <c r="X123" s="519" t="str">
        <f>IF($Q$121="設定しない","",IF(手引き!$B$59="設定する","運転免許証返納者割引は、自動車運転免許の全部を自ら返納することにより、公安委員会で発行される運転経歴証明書の交付を受けている者について適用する。",""))</f>
        <v/>
      </c>
      <c r="Y123" s="519"/>
      <c r="Z123" s="519"/>
      <c r="AA123" s="519"/>
      <c r="AB123" s="519"/>
      <c r="AC123" s="519"/>
      <c r="AD123" s="519"/>
      <c r="AE123" s="519"/>
      <c r="AF123" s="519"/>
      <c r="AG123" s="519"/>
      <c r="AH123" s="519"/>
      <c r="AI123" s="519"/>
      <c r="AJ123" s="519"/>
      <c r="AK123" s="519"/>
      <c r="AL123" s="519"/>
    </row>
    <row r="124" spans="2:38" ht="12" customHeight="1" x14ac:dyDescent="0.2">
      <c r="B124" s="95" t="str">
        <f>IF(OR(U124=0,U124=""),"",VLOOKUP(COUNTIF($U$122:U124,"・"),名前2!$A$18:$B$44,2,0))</f>
        <v>ハ</v>
      </c>
      <c r="C124" s="519" t="str">
        <f>IF($Q$121="設定しない","","距離制運賃の算定は、旅客の乗車した地点から運送が終わった地点までの運送について行う。")</f>
        <v>距離制運賃の算定は、旅客の乗車した地点から運送が終わった地点までの運送について行う。</v>
      </c>
      <c r="D124" s="519"/>
      <c r="E124" s="519"/>
      <c r="F124" s="519"/>
      <c r="G124" s="519"/>
      <c r="H124" s="519"/>
      <c r="I124" s="519"/>
      <c r="J124" s="519"/>
      <c r="K124" s="519"/>
      <c r="L124" s="519"/>
      <c r="M124" s="519"/>
      <c r="N124" s="519"/>
      <c r="O124" s="519"/>
      <c r="P124" s="519"/>
      <c r="Q124" s="519"/>
      <c r="R124" s="519"/>
      <c r="S124" s="519"/>
      <c r="T124" s="519"/>
      <c r="U124" s="95" t="str">
        <f>IF(C124="","","・")</f>
        <v>・</v>
      </c>
      <c r="V124" s="80">
        <f>IF($X124&lt;&gt;"",MAX(V$120:V123)+1,"")</f>
        <v>2</v>
      </c>
      <c r="W124" s="80" t="s">
        <v>129</v>
      </c>
      <c r="X124" s="519" t="str">
        <f>IF($Q$121="設定しない","","身体障害者割引、知的障害者割引"&amp;IF(手引き!$B$57="設定する","、精神障害者割引","")&amp;IF(手引き!$B$58="設定する","、高齢者割引","")&amp;IF(手引き!$B$59="設定する","、運転免許証返納者割引","")&amp;"の算定は、")</f>
        <v>身体障害者割引、知的障害者割引の算定は、</v>
      </c>
      <c r="Y124" s="519"/>
      <c r="Z124" s="519"/>
      <c r="AA124" s="519"/>
      <c r="AB124" s="519"/>
      <c r="AC124" s="519"/>
      <c r="AD124" s="519"/>
      <c r="AE124" s="519"/>
      <c r="AF124" s="519"/>
      <c r="AG124" s="519"/>
      <c r="AH124" s="519"/>
      <c r="AI124" s="519"/>
      <c r="AJ124" s="519"/>
      <c r="AK124" s="519"/>
      <c r="AL124" s="519"/>
    </row>
    <row r="125" spans="2:38" ht="12" customHeight="1" x14ac:dyDescent="0.2">
      <c r="B125" s="95" t="str">
        <f>IF(OR(U125=0,U125=""),"",VLOOKUP(COUNTIF($U$122:U125,"・"),名前2!$A$18:$B$44,2,0))</f>
        <v>ニ</v>
      </c>
      <c r="C125" s="519" t="str">
        <f>IF($Q$121="","時間距離併用運賃は、走行が時速10キロメートル以下になった場合及び旅客の都合により車両を待機させる場合に適用する。","")</f>
        <v>時間距離併用運賃は、走行が時速10キロメートル以下になった場合及び旅客の都合により車両を待機させる場合に適用する。</v>
      </c>
      <c r="D125" s="519"/>
      <c r="E125" s="519"/>
      <c r="F125" s="519"/>
      <c r="G125" s="519"/>
      <c r="H125" s="519"/>
      <c r="I125" s="519"/>
      <c r="J125" s="519"/>
      <c r="K125" s="519"/>
      <c r="L125" s="519"/>
      <c r="M125" s="519"/>
      <c r="N125" s="519"/>
      <c r="O125" s="519"/>
      <c r="P125" s="519"/>
      <c r="Q125" s="519"/>
      <c r="R125" s="519"/>
      <c r="S125" s="519"/>
      <c r="T125" s="519"/>
      <c r="U125" s="95" t="str">
        <f>IF(C125="","","・")</f>
        <v>・</v>
      </c>
      <c r="V125" s="80">
        <f>IF($X125&lt;&gt;"",MAX(V$120:V124)+1,"")</f>
        <v>3</v>
      </c>
      <c r="X125" s="519" t="str">
        <f>IF($Q$121="設定しない","","メーター器の表示額に 0.9を乗じ、10円未満の端数を切り捨てた額とする。")</f>
        <v>メーター器の表示額に 0.9を乗じ、10円未満の端数を切り捨てた額とする。</v>
      </c>
      <c r="Y125" s="519"/>
      <c r="Z125" s="519"/>
      <c r="AA125" s="519"/>
      <c r="AB125" s="519"/>
      <c r="AC125" s="519"/>
      <c r="AD125" s="519"/>
      <c r="AE125" s="519"/>
      <c r="AF125" s="519"/>
      <c r="AG125" s="519"/>
      <c r="AH125" s="519"/>
      <c r="AI125" s="519"/>
      <c r="AJ125" s="519"/>
      <c r="AK125" s="519"/>
      <c r="AL125" s="519"/>
    </row>
    <row r="126" spans="2:38" ht="12" customHeight="1" x14ac:dyDescent="0.2">
      <c r="B126" s="95" t="str">
        <f>IF(OR(U126=0,U126=""),"",VLOOKUP(COUNTIF($U$122:U126,"・"),名前2!$A$18:$B$44,2,0))</f>
        <v/>
      </c>
      <c r="C126" s="519" t="str">
        <f>IF($Q$121="",IF(手引き!$C48="○","ただし、迎車のための回送区間、高速自動車国道及び道路法第48条の２第１項により指定された自動車専用道路","ただし、高速自動車国道及び道路法第48条の２第１項により指定された自動車専用道路"),"")</f>
        <v>ただし、高速自動車国道及び道路法第48条の２第１項により指定された自動車専用道路</v>
      </c>
      <c r="D126" s="519"/>
      <c r="E126" s="519"/>
      <c r="F126" s="519"/>
      <c r="G126" s="519"/>
      <c r="H126" s="519"/>
      <c r="I126" s="519"/>
      <c r="J126" s="519"/>
      <c r="K126" s="519"/>
      <c r="L126" s="519"/>
      <c r="M126" s="519"/>
      <c r="N126" s="519"/>
      <c r="O126" s="519"/>
      <c r="P126" s="519"/>
      <c r="Q126" s="519"/>
      <c r="R126" s="519"/>
      <c r="S126" s="519"/>
      <c r="T126" s="519"/>
      <c r="U126" s="71"/>
      <c r="V126" s="80" t="str">
        <f>IF($X126&lt;&gt;"",MAX(V$120:V125)+1,"")</f>
        <v/>
      </c>
      <c r="W126" s="80" t="s">
        <v>129</v>
      </c>
      <c r="X126" s="519" t="str">
        <f>IF($Q$121="設定しない","",IF(手引き!$B$60="設定する","遠距離割引が適用される場合の運賃及び料金の額は、メーター器の表示額のうち 9,000円と、",""))</f>
        <v/>
      </c>
      <c r="Y126" s="519"/>
      <c r="Z126" s="519"/>
      <c r="AA126" s="519"/>
      <c r="AB126" s="519"/>
      <c r="AC126" s="519"/>
      <c r="AD126" s="519"/>
      <c r="AE126" s="519"/>
      <c r="AF126" s="519"/>
      <c r="AG126" s="519"/>
      <c r="AH126" s="519"/>
      <c r="AI126" s="519"/>
      <c r="AJ126" s="519"/>
      <c r="AK126" s="519"/>
      <c r="AL126" s="519"/>
    </row>
    <row r="127" spans="2:38" ht="12" customHeight="1" x14ac:dyDescent="0.2">
      <c r="B127" s="95" t="str">
        <f>IF(OR(U127=0,U127=""),"",VLOOKUP(COUNTIF($U$122:U127,"・"),名前2!$A$18:$B$44,2,0))</f>
        <v/>
      </c>
      <c r="C127" s="519" t="str">
        <f>IF($Q$121="","（取付道路進入地点から退出地点までの区間に限る。）を走行する場合は適用しない。","")</f>
        <v>（取付道路進入地点から退出地点までの区間に限る。）を走行する場合は適用しない。</v>
      </c>
      <c r="D127" s="519"/>
      <c r="E127" s="519"/>
      <c r="F127" s="519"/>
      <c r="G127" s="519"/>
      <c r="H127" s="519"/>
      <c r="I127" s="519"/>
      <c r="J127" s="519"/>
      <c r="K127" s="519"/>
      <c r="L127" s="519"/>
      <c r="M127" s="519"/>
      <c r="N127" s="519"/>
      <c r="O127" s="519"/>
      <c r="P127" s="519"/>
      <c r="Q127" s="519"/>
      <c r="R127" s="519"/>
      <c r="S127" s="519"/>
      <c r="T127" s="519"/>
      <c r="U127" s="71"/>
      <c r="V127" s="80" t="str">
        <f>IF($X127&lt;&gt;"",MAX(V$120:V126)+1,"")</f>
        <v/>
      </c>
      <c r="W127" s="80"/>
      <c r="X127" s="519" t="str">
        <f>IF($Q$121="設定しない","",IF(手引き!$B$60="設定する","これを超える額に0.9を乗じ、10円未満の端数を切り捨てた額の合計額とする。",""))</f>
        <v/>
      </c>
      <c r="Y127" s="519"/>
      <c r="Z127" s="519"/>
      <c r="AA127" s="519"/>
      <c r="AB127" s="519"/>
      <c r="AC127" s="519"/>
      <c r="AD127" s="519"/>
      <c r="AE127" s="519"/>
      <c r="AF127" s="519"/>
      <c r="AG127" s="519"/>
      <c r="AH127" s="519"/>
      <c r="AI127" s="519"/>
      <c r="AJ127" s="519"/>
      <c r="AK127" s="519"/>
      <c r="AL127" s="519"/>
    </row>
    <row r="128" spans="2:38" ht="12" customHeight="1" x14ac:dyDescent="0.2">
      <c r="B128" s="95" t="str">
        <f>IF(OR(U128=0,U128=""),"",VLOOKUP(COUNTIF($U$122:U128,"・"),名前2!$A$18:$B$44,2,0))</f>
        <v>ホ</v>
      </c>
      <c r="C128" s="519" t="str">
        <f>IF($Q$121="設定しない","",IF(手引き!$C48="○","距離制運賃及び迎車回送料金の収受にあたっては、運送が終わった地点で停車後直ちにメーター器を「支払」の位置に操作すること。","距離制運賃の収受にあたっては、運送が終わった地点で停車後直ちにメーター器を「支払」の位置に操作すること。"))</f>
        <v>距離制運賃の収受にあたっては、運送が終わった地点で停車後直ちにメーター器を「支払」の位置に操作すること。</v>
      </c>
      <c r="D128" s="519"/>
      <c r="E128" s="519"/>
      <c r="F128" s="519"/>
      <c r="G128" s="519"/>
      <c r="H128" s="519"/>
      <c r="I128" s="519"/>
      <c r="J128" s="519"/>
      <c r="K128" s="519"/>
      <c r="L128" s="519"/>
      <c r="M128" s="519"/>
      <c r="N128" s="519"/>
      <c r="O128" s="519"/>
      <c r="P128" s="519"/>
      <c r="Q128" s="519"/>
      <c r="R128" s="519"/>
      <c r="S128" s="519"/>
      <c r="T128" s="519"/>
      <c r="U128" s="95" t="str">
        <f>IF(C128="","","・")</f>
        <v>・</v>
      </c>
      <c r="V128" s="80" t="str">
        <f>IF($X128&lt;&gt;"",MAX(V$120:V127)+1,"")</f>
        <v/>
      </c>
      <c r="W128" s="80" t="s">
        <v>129</v>
      </c>
      <c r="X128" s="519" t="str">
        <f>IF($Q$121="設定しない","",IF(手引き!$B$60="設定する","身体障害者割引、知的障害者割引"&amp;IF(手引き!$B$57="設定する","、精神障害者割引","")&amp;IF(手引き!$B$58="設定する","、高齢者割引","")&amp;IF(手引き!$B$59="設定する","、運転免許証返納者割引","")&amp;"と",""))</f>
        <v/>
      </c>
      <c r="Y128" s="519"/>
      <c r="Z128" s="519"/>
      <c r="AA128" s="519"/>
      <c r="AB128" s="519"/>
      <c r="AC128" s="519"/>
      <c r="AD128" s="519"/>
      <c r="AE128" s="519"/>
      <c r="AF128" s="519"/>
      <c r="AG128" s="519"/>
      <c r="AH128" s="519"/>
      <c r="AI128" s="519"/>
      <c r="AJ128" s="519"/>
      <c r="AK128" s="519"/>
      <c r="AL128" s="519"/>
    </row>
    <row r="129" spans="1:38" ht="12" customHeight="1" x14ac:dyDescent="0.2">
      <c r="B129" s="95" t="str">
        <f>IF(OR(U129=0,U129=""),"",VLOOKUP(COUNTIF($U$122:U129,"・"),名前2!$A$18:$B$44,2,0))</f>
        <v>ヘ</v>
      </c>
      <c r="C129" s="519" t="str">
        <f>IF($Q$121="","深夜及び早朝割増を適用する時間は、午後10時から翌朝午前５時までとする。","")</f>
        <v>深夜及び早朝割増を適用する時間は、午後10時から翌朝午前５時までとする。</v>
      </c>
      <c r="D129" s="519"/>
      <c r="E129" s="519"/>
      <c r="F129" s="519"/>
      <c r="G129" s="519"/>
      <c r="H129" s="519"/>
      <c r="I129" s="519"/>
      <c r="J129" s="519"/>
      <c r="K129" s="519"/>
      <c r="L129" s="519"/>
      <c r="M129" s="519"/>
      <c r="N129" s="519"/>
      <c r="O129" s="519"/>
      <c r="P129" s="519"/>
      <c r="Q129" s="519"/>
      <c r="R129" s="519"/>
      <c r="S129" s="519"/>
      <c r="T129" s="519"/>
      <c r="U129" s="95" t="str">
        <f t="shared" ref="U129:U131" si="1">IF(C129="","","・")</f>
        <v>・</v>
      </c>
      <c r="V129" s="80" t="str">
        <f>IF($X129&lt;&gt;"",MAX(V$120:V128)+1,"")</f>
        <v/>
      </c>
      <c r="W129" s="95"/>
      <c r="X129" s="519" t="str">
        <f>IF($Q$121="設定しない","",IF(手引き!$B$60="設定する","遠距離割引が重複して適用される場合の運賃及び料金の額は、各割引制度ごとに求められる割引額の合計額をメーター器の表示額から減じた額とする。",""))</f>
        <v/>
      </c>
      <c r="Y129" s="519"/>
      <c r="Z129" s="519"/>
      <c r="AA129" s="519"/>
      <c r="AB129" s="519"/>
      <c r="AC129" s="519"/>
      <c r="AD129" s="519"/>
      <c r="AE129" s="519"/>
      <c r="AF129" s="519"/>
      <c r="AG129" s="519"/>
      <c r="AH129" s="519"/>
      <c r="AI129" s="519"/>
      <c r="AJ129" s="519"/>
      <c r="AK129" s="519"/>
      <c r="AL129" s="519"/>
    </row>
    <row r="130" spans="1:38" ht="12" customHeight="1" x14ac:dyDescent="0.2">
      <c r="B130" s="95" t="str">
        <f>IF(OR(U130=0,U130=""),"",VLOOKUP(COUNTIF($U$122:U130,"・"),名前2!$A$18:$B$44,2,0))</f>
        <v>ト</v>
      </c>
      <c r="C130" s="519" t="str">
        <f>IF($Q$121="","身体障害者割引は、身体障害者福祉法の規定により身体障害者手帳の交付を受けている者について適用する。","")</f>
        <v>身体障害者割引は、身体障害者福祉法の規定により身体障害者手帳の交付を受けている者について適用する。</v>
      </c>
      <c r="D130" s="519"/>
      <c r="E130" s="519"/>
      <c r="F130" s="519"/>
      <c r="G130" s="519"/>
      <c r="H130" s="519"/>
      <c r="I130" s="519"/>
      <c r="J130" s="519"/>
      <c r="K130" s="519"/>
      <c r="L130" s="519"/>
      <c r="M130" s="519"/>
      <c r="N130" s="519"/>
      <c r="O130" s="519"/>
      <c r="P130" s="519"/>
      <c r="Q130" s="519"/>
      <c r="R130" s="519"/>
      <c r="S130" s="519"/>
      <c r="T130" s="519"/>
      <c r="U130" s="95" t="str">
        <f t="shared" si="1"/>
        <v>・</v>
      </c>
      <c r="V130" s="95">
        <f>IF($X130&lt;&gt;"",MAX(V$120:V129)+1,"")</f>
        <v>4</v>
      </c>
      <c r="W130" s="95" t="s">
        <v>304</v>
      </c>
      <c r="X130" s="519" t="str">
        <f>IF($Q$121="設定しない","","身体障害者割引、知的障害者割引"&amp;IF(手引き!$B$57="設定する","、精神障害者割引","")&amp;IF(手引き!$B$58="設定する","、高齢者割引","")&amp;IF(手引き!$B$59="設定する","、運転免許証返納者割引","")&amp;"は重複して適用しないものとする。")</f>
        <v>身体障害者割引、知的障害者割引は重複して適用しないものとする。</v>
      </c>
      <c r="Y130" s="519"/>
      <c r="Z130" s="519"/>
      <c r="AA130" s="519"/>
      <c r="AB130" s="519"/>
      <c r="AC130" s="519"/>
      <c r="AD130" s="519"/>
      <c r="AE130" s="519"/>
      <c r="AF130" s="519"/>
      <c r="AG130" s="519"/>
      <c r="AH130" s="519"/>
      <c r="AI130" s="519"/>
      <c r="AJ130" s="519"/>
      <c r="AK130" s="519"/>
      <c r="AL130" s="519"/>
    </row>
    <row r="131" spans="1:38" ht="12" customHeight="1" x14ac:dyDescent="0.2">
      <c r="A131" s="84">
        <v>1</v>
      </c>
      <c r="B131" s="95" t="str">
        <f>IF(OR(U131=0,U131=""),"",VLOOKUP(COUNTIF($U$122:U131,"・"),名前2!$A$18:$B$44,2,0))</f>
        <v>チ</v>
      </c>
      <c r="C131" s="519" t="str">
        <f t="shared" ref="C131:C150" si="2">IF(ISERROR(VLOOKUP(A131,$V$120:$AL$140,3,0)),"",VLOOKUP(A131,$V$120:$AL$140,3,0))</f>
        <v>知的障害者割引は、療育手帳制度要綱（昭和48年９月27日、厚生事務次官通知）に規定する知的障害者の療育手帳の交付を受けている者について適用する。</v>
      </c>
      <c r="D131" s="519"/>
      <c r="E131" s="519"/>
      <c r="F131" s="519"/>
      <c r="G131" s="519"/>
      <c r="H131" s="519"/>
      <c r="I131" s="519"/>
      <c r="J131" s="519"/>
      <c r="K131" s="519"/>
      <c r="L131" s="519"/>
      <c r="M131" s="519"/>
      <c r="N131" s="519"/>
      <c r="O131" s="519"/>
      <c r="P131" s="519"/>
      <c r="Q131" s="519"/>
      <c r="R131" s="519"/>
      <c r="S131" s="519"/>
      <c r="T131" s="519"/>
      <c r="U131" s="95" t="str">
        <f t="shared" si="1"/>
        <v>・</v>
      </c>
      <c r="V131" s="95" t="str">
        <f>IF($X131&lt;&gt;"",MAX(V$120:V130)+1,"")</f>
        <v/>
      </c>
      <c r="W131" s="80" t="s">
        <v>129</v>
      </c>
      <c r="X131" s="520" t="str">
        <f>IF($Q$121="設定しない","",IF(手引き!$C$48="○","メーター器は、迎車のための回送料金を適用する場合、迎車機構（迎車のための",""))</f>
        <v/>
      </c>
      <c r="Y131" s="520"/>
      <c r="Z131" s="520"/>
      <c r="AA131" s="520"/>
      <c r="AB131" s="520"/>
      <c r="AC131" s="520"/>
      <c r="AD131" s="520"/>
      <c r="AE131" s="520"/>
      <c r="AF131" s="520"/>
      <c r="AG131" s="520"/>
      <c r="AH131" s="520"/>
      <c r="AI131" s="520"/>
      <c r="AJ131" s="520"/>
      <c r="AK131" s="520"/>
      <c r="AL131" s="520"/>
    </row>
    <row r="132" spans="1:38" ht="12" customHeight="1" x14ac:dyDescent="0.2">
      <c r="A132" s="84">
        <v>2</v>
      </c>
      <c r="B132" s="95" t="str">
        <f>IF(OR(U132=0,U132=""),"",VLOOKUP(COUNTIF($U$122:U132,"・"),名前2!$A$18:$B$44,2,0))</f>
        <v>リ</v>
      </c>
      <c r="C132" s="519" t="str">
        <f t="shared" si="2"/>
        <v>身体障害者割引、知的障害者割引の算定は、</v>
      </c>
      <c r="D132" s="519"/>
      <c r="E132" s="519"/>
      <c r="F132" s="519"/>
      <c r="G132" s="519"/>
      <c r="H132" s="519"/>
      <c r="I132" s="519"/>
      <c r="J132" s="519"/>
      <c r="K132" s="519"/>
      <c r="L132" s="519"/>
      <c r="M132" s="519"/>
      <c r="N132" s="519"/>
      <c r="O132" s="519"/>
      <c r="P132" s="519"/>
      <c r="Q132" s="519"/>
      <c r="R132" s="519"/>
      <c r="S132" s="519"/>
      <c r="T132" s="519"/>
      <c r="U132" s="95" t="str">
        <f t="shared" ref="U132:U150" si="3">IF(ISERROR(VLOOKUP($A132,$V$120:$AL$140,2,0)),"",VLOOKUP($A132,$V$120:$AL$140,2,0))</f>
        <v>・</v>
      </c>
      <c r="V132" s="95" t="str">
        <f>IF($X132&lt;&gt;"",MAX(V$120:V131)+1,"")</f>
        <v/>
      </c>
      <c r="W132" s="95"/>
      <c r="X132" s="519" t="str">
        <f>IF($Q$121="設定しない","",IF(手引き!$C$48="○","回送距離が初乗距離を超えるときは、これを超える部分について料金の積算機構が停止し、",""))</f>
        <v/>
      </c>
      <c r="Y132" s="519"/>
      <c r="Z132" s="519"/>
      <c r="AA132" s="519"/>
      <c r="AB132" s="519"/>
      <c r="AC132" s="519"/>
      <c r="AD132" s="519"/>
      <c r="AE132" s="519"/>
      <c r="AF132" s="519"/>
      <c r="AG132" s="519"/>
      <c r="AH132" s="519"/>
      <c r="AI132" s="519"/>
      <c r="AJ132" s="519"/>
      <c r="AK132" s="519"/>
      <c r="AL132" s="519"/>
    </row>
    <row r="133" spans="1:38" ht="12" customHeight="1" x14ac:dyDescent="0.2">
      <c r="A133" s="84">
        <v>3</v>
      </c>
      <c r="B133" s="95" t="str">
        <f>IF(OR(U133=0,U133=""),"",VLOOKUP(COUNTIF($U$122:U133,"・"),名前2!$A$18:$B$44,2,0))</f>
        <v/>
      </c>
      <c r="C133" s="519" t="str">
        <f t="shared" si="2"/>
        <v>メーター器の表示額に 0.9を乗じ、10円未満の端数を切り捨てた額とする。</v>
      </c>
      <c r="D133" s="519"/>
      <c r="E133" s="519"/>
      <c r="F133" s="519"/>
      <c r="G133" s="519"/>
      <c r="H133" s="519"/>
      <c r="I133" s="519"/>
      <c r="J133" s="519"/>
      <c r="K133" s="519"/>
      <c r="L133" s="519"/>
      <c r="M133" s="519"/>
      <c r="N133" s="519"/>
      <c r="O133" s="519"/>
      <c r="P133" s="519"/>
      <c r="Q133" s="519"/>
      <c r="R133" s="519"/>
      <c r="S133" s="519"/>
      <c r="T133" s="519"/>
      <c r="U133" s="95">
        <f t="shared" si="3"/>
        <v>0</v>
      </c>
      <c r="V133" s="95" t="str">
        <f>IF($X133&lt;&gt;"",MAX(V$120:V132)+1,"")</f>
        <v/>
      </c>
      <c r="W133" s="95"/>
      <c r="X133" s="519" t="str">
        <f>IF($Q$121="設定しない","",IF(手引き!$C$48="○","初乗距離以内であるときは実車走行となっても引続いて初乗距離に至るまで初乗運賃額を",""))</f>
        <v/>
      </c>
      <c r="Y133" s="519"/>
      <c r="Z133" s="519"/>
      <c r="AA133" s="519"/>
      <c r="AB133" s="519"/>
      <c r="AC133" s="519"/>
      <c r="AD133" s="519"/>
      <c r="AE133" s="519"/>
      <c r="AF133" s="519"/>
      <c r="AG133" s="519"/>
      <c r="AH133" s="519"/>
      <c r="AI133" s="519"/>
      <c r="AJ133" s="519"/>
      <c r="AK133" s="519"/>
      <c r="AL133" s="519"/>
    </row>
    <row r="134" spans="1:38" ht="12" customHeight="1" x14ac:dyDescent="0.2">
      <c r="A134" s="84">
        <v>4</v>
      </c>
      <c r="B134" s="95" t="str">
        <f>IF(OR(U134=0,U134=""),"",VLOOKUP(COUNTIF($U$122:U134,"・"),名前2!$A$18:$B$44,2,0))</f>
        <v>ヌ</v>
      </c>
      <c r="C134" s="519" t="str">
        <f t="shared" si="2"/>
        <v>身体障害者割引、知的障害者割引は重複して適用しないものとする。</v>
      </c>
      <c r="D134" s="519"/>
      <c r="E134" s="519"/>
      <c r="F134" s="519"/>
      <c r="G134" s="519"/>
      <c r="H134" s="519"/>
      <c r="I134" s="519"/>
      <c r="J134" s="519"/>
      <c r="K134" s="519"/>
      <c r="L134" s="519"/>
      <c r="M134" s="519"/>
      <c r="N134" s="519"/>
      <c r="O134" s="519"/>
      <c r="P134" s="519"/>
      <c r="Q134" s="519"/>
      <c r="R134" s="519"/>
      <c r="S134" s="519"/>
      <c r="T134" s="519"/>
      <c r="U134" s="95" t="str">
        <f t="shared" si="3"/>
        <v>・</v>
      </c>
      <c r="V134" s="95" t="str">
        <f>IF($X134&lt;&gt;"",MAX(V$120:V133)+1,"")</f>
        <v/>
      </c>
      <c r="W134" s="95"/>
      <c r="X134" s="519" t="str">
        <f>IF($Q$121="設定しない","",IF(手引き!$C$48="○","表示して走行する装置を有する機構をいう。）を有するものであること。",""))</f>
        <v/>
      </c>
      <c r="Y134" s="519"/>
      <c r="Z134" s="519"/>
      <c r="AA134" s="519"/>
      <c r="AB134" s="519"/>
      <c r="AC134" s="519"/>
      <c r="AD134" s="519"/>
      <c r="AE134" s="519"/>
      <c r="AF134" s="519"/>
      <c r="AG134" s="519"/>
      <c r="AH134" s="519"/>
      <c r="AI134" s="519"/>
      <c r="AJ134" s="519"/>
      <c r="AK134" s="519"/>
      <c r="AL134" s="519"/>
    </row>
    <row r="135" spans="1:38" ht="12" customHeight="1" x14ac:dyDescent="0.2">
      <c r="A135" s="84">
        <v>5</v>
      </c>
      <c r="B135" s="95" t="str">
        <f>IF(OR(U135=0,U135=""),"",VLOOKUP(COUNTIF($U$122:U135,"・"),名前2!$A$18:$B$44,2,0))</f>
        <v>ル</v>
      </c>
      <c r="C135" s="519" t="str">
        <f t="shared" si="2"/>
        <v>メーター器は、高速自動車国道及び道路法第48条の２第１項により指定された自動車専用道路</v>
      </c>
      <c r="D135" s="519"/>
      <c r="E135" s="519"/>
      <c r="F135" s="519"/>
      <c r="G135" s="519"/>
      <c r="H135" s="519"/>
      <c r="I135" s="519"/>
      <c r="J135" s="519"/>
      <c r="K135" s="519"/>
      <c r="L135" s="519"/>
      <c r="M135" s="519"/>
      <c r="N135" s="519"/>
      <c r="O135" s="519"/>
      <c r="P135" s="519"/>
      <c r="Q135" s="519"/>
      <c r="R135" s="519"/>
      <c r="S135" s="519"/>
      <c r="T135" s="519"/>
      <c r="U135" s="95" t="str">
        <f t="shared" si="3"/>
        <v>・</v>
      </c>
      <c r="V135" s="95">
        <f>IF($X135&lt;&gt;"",MAX(V$120:V134)+1,"")</f>
        <v>5</v>
      </c>
      <c r="W135" s="80" t="str">
        <f>IF(X135="メーター器は、高速自動車国道及び道路法第48条の２第１項により指定された自動車専用道路","・","")</f>
        <v>・</v>
      </c>
      <c r="X135" s="519" t="str">
        <f>IF($Q$121="設定しない","",IF(手引き!C48="○","また、高速自動車国道及び道路法第48条の２第１項により指定された自動車専用道路","メーター器は、高速自動車国道及び道路法第48条の２第１項により指定された自動車専用道路"))</f>
        <v>メーター器は、高速自動車国道及び道路法第48条の２第１項により指定された自動車専用道路</v>
      </c>
      <c r="Y135" s="519"/>
      <c r="Z135" s="519"/>
      <c r="AA135" s="519"/>
      <c r="AB135" s="519"/>
      <c r="AC135" s="519"/>
      <c r="AD135" s="519"/>
      <c r="AE135" s="519"/>
      <c r="AF135" s="519"/>
      <c r="AG135" s="519"/>
      <c r="AH135" s="519"/>
      <c r="AI135" s="519"/>
      <c r="AJ135" s="519"/>
      <c r="AK135" s="519"/>
      <c r="AL135" s="519"/>
    </row>
    <row r="136" spans="1:38" ht="12" customHeight="1" x14ac:dyDescent="0.2">
      <c r="A136" s="84">
        <v>6</v>
      </c>
      <c r="B136" s="95" t="str">
        <f>IF(OR(U136=0,U136=""),"",VLOOKUP(COUNTIF($U$122:U136,"・"),名前2!$A$18:$B$44,2,0))</f>
        <v/>
      </c>
      <c r="C136" s="519" t="str">
        <f t="shared" si="2"/>
        <v xml:space="preserve">（取付道路進入地点から退出地点までの区間に限る。）を走行する場合は、 </v>
      </c>
      <c r="D136" s="519"/>
      <c r="E136" s="519"/>
      <c r="F136" s="519"/>
      <c r="G136" s="519"/>
      <c r="H136" s="519"/>
      <c r="I136" s="519"/>
      <c r="J136" s="519"/>
      <c r="K136" s="519"/>
      <c r="L136" s="519"/>
      <c r="M136" s="519"/>
      <c r="N136" s="519"/>
      <c r="O136" s="519"/>
      <c r="P136" s="519"/>
      <c r="Q136" s="519"/>
      <c r="R136" s="519"/>
      <c r="S136" s="519"/>
      <c r="T136" s="519"/>
      <c r="U136" s="95">
        <f t="shared" si="3"/>
        <v>0</v>
      </c>
      <c r="V136" s="95">
        <f>IF($X136&lt;&gt;"",MAX(V$120:V135)+1,"")</f>
        <v>6</v>
      </c>
      <c r="W136" s="95"/>
      <c r="X136" s="519" t="str">
        <f>IF($Q$121="設定しない","","（取付道路進入地点から退出地点までの区間に限る。）を走行する場合は、 ")</f>
        <v xml:space="preserve">（取付道路進入地点から退出地点までの区間に限る。）を走行する場合は、 </v>
      </c>
      <c r="Y136" s="519"/>
      <c r="Z136" s="519"/>
      <c r="AA136" s="519"/>
      <c r="AB136" s="519"/>
      <c r="AC136" s="519"/>
      <c r="AD136" s="519"/>
      <c r="AE136" s="519"/>
      <c r="AF136" s="519"/>
      <c r="AG136" s="519"/>
      <c r="AH136" s="519"/>
      <c r="AI136" s="519"/>
      <c r="AJ136" s="519"/>
      <c r="AK136" s="519"/>
      <c r="AL136" s="519"/>
    </row>
    <row r="137" spans="1:38" ht="12" customHeight="1" x14ac:dyDescent="0.2">
      <c r="A137" s="84">
        <v>7</v>
      </c>
      <c r="B137" s="95" t="str">
        <f>IF(OR(U137=0,U137=""),"",VLOOKUP(COUNTIF($U$122:U137,"・"),名前2!$A$18:$B$44,2,0))</f>
        <v/>
      </c>
      <c r="C137" s="519" t="str">
        <f t="shared" si="2"/>
        <v>時間距離併用運賃の積算が停止する機能を有するものであること。</v>
      </c>
      <c r="D137" s="519"/>
      <c r="E137" s="519"/>
      <c r="F137" s="519"/>
      <c r="G137" s="519"/>
      <c r="H137" s="519"/>
      <c r="I137" s="519"/>
      <c r="J137" s="519"/>
      <c r="K137" s="519"/>
      <c r="L137" s="519"/>
      <c r="M137" s="519"/>
      <c r="N137" s="519"/>
      <c r="O137" s="519"/>
      <c r="P137" s="519"/>
      <c r="Q137" s="519"/>
      <c r="R137" s="519"/>
      <c r="S137" s="519"/>
      <c r="T137" s="519"/>
      <c r="U137" s="95">
        <f t="shared" si="3"/>
        <v>0</v>
      </c>
      <c r="V137" s="95">
        <f>IF($X137&lt;&gt;"",MAX(V$120:V136)+1,"")</f>
        <v>7</v>
      </c>
      <c r="W137" s="95"/>
      <c r="X137" s="519" t="str">
        <f>IF($Q$121="設定しない","","時間距離併用運賃の積算が停止する機能を有するものであること。")</f>
        <v>時間距離併用運賃の積算が停止する機能を有するものであること。</v>
      </c>
      <c r="Y137" s="519"/>
      <c r="Z137" s="519"/>
      <c r="AA137" s="519"/>
      <c r="AB137" s="519"/>
      <c r="AC137" s="519"/>
      <c r="AD137" s="519"/>
      <c r="AE137" s="519"/>
      <c r="AF137" s="519"/>
      <c r="AG137" s="519"/>
      <c r="AH137" s="519"/>
      <c r="AI137" s="519"/>
      <c r="AJ137" s="519"/>
      <c r="AK137" s="519"/>
      <c r="AL137" s="519"/>
    </row>
    <row r="138" spans="1:38" ht="12" customHeight="1" x14ac:dyDescent="0.2">
      <c r="A138" s="84">
        <v>8</v>
      </c>
      <c r="B138" s="95" t="str">
        <f>IF(OR(U138=0,U138=""),"",VLOOKUP(COUNTIF($U$122:U138,"・"),名前2!$A$18:$B$44,2,0))</f>
        <v/>
      </c>
      <c r="C138" s="519" t="str">
        <f t="shared" si="2"/>
        <v/>
      </c>
      <c r="D138" s="519"/>
      <c r="E138" s="519"/>
      <c r="F138" s="519"/>
      <c r="G138" s="519"/>
      <c r="H138" s="519"/>
      <c r="I138" s="519"/>
      <c r="J138" s="519"/>
      <c r="K138" s="519"/>
      <c r="L138" s="519"/>
      <c r="M138" s="519"/>
      <c r="N138" s="519"/>
      <c r="O138" s="519"/>
      <c r="P138" s="519"/>
      <c r="Q138" s="519"/>
      <c r="R138" s="519"/>
      <c r="S138" s="519"/>
      <c r="T138" s="519"/>
      <c r="U138" s="95" t="str">
        <f t="shared" si="3"/>
        <v/>
      </c>
      <c r="V138" s="95" t="str">
        <f>IF($X138&lt;&gt;"",MAX(V$120:V137)+1,"")</f>
        <v/>
      </c>
      <c r="W138" s="95" t="s">
        <v>129</v>
      </c>
      <c r="X138" s="519" t="str">
        <f>IF($Q$121="設定しない","",IF(手引き!$C$49="○","迎車回送料金を適用した場合の運賃及び料金の額は、上記により算出した運賃","")
)</f>
        <v/>
      </c>
      <c r="Y138" s="519"/>
      <c r="Z138" s="519"/>
      <c r="AA138" s="519"/>
      <c r="AB138" s="519"/>
      <c r="AC138" s="519"/>
      <c r="AD138" s="519"/>
      <c r="AE138" s="519"/>
      <c r="AF138" s="519"/>
      <c r="AG138" s="519"/>
      <c r="AH138" s="519"/>
      <c r="AI138" s="519"/>
      <c r="AJ138" s="519"/>
      <c r="AK138" s="519"/>
      <c r="AL138" s="519"/>
    </row>
    <row r="139" spans="1:38" ht="12" customHeight="1" x14ac:dyDescent="0.2">
      <c r="A139" s="84">
        <v>9</v>
      </c>
      <c r="B139" s="95" t="str">
        <f>IF(OR(U139=0,U139=""),"",VLOOKUP(COUNTIF($U$122:U139,"・"),名前2!$A$18:$B$44,2,0))</f>
        <v/>
      </c>
      <c r="C139" s="519" t="str">
        <f t="shared" si="2"/>
        <v/>
      </c>
      <c r="D139" s="519"/>
      <c r="E139" s="519"/>
      <c r="F139" s="519"/>
      <c r="G139" s="519"/>
      <c r="H139" s="519"/>
      <c r="I139" s="519"/>
      <c r="J139" s="519"/>
      <c r="K139" s="519"/>
      <c r="L139" s="519"/>
      <c r="M139" s="519"/>
      <c r="N139" s="519"/>
      <c r="O139" s="519"/>
      <c r="P139" s="519"/>
      <c r="Q139" s="519"/>
      <c r="R139" s="519"/>
      <c r="S139" s="519"/>
      <c r="T139" s="519"/>
      <c r="U139" s="95" t="str">
        <f t="shared" si="3"/>
        <v/>
      </c>
      <c r="V139" s="80" t="str">
        <f>IF($X139&lt;&gt;"",MAX(V$120:V138)+1,"")</f>
        <v/>
      </c>
      <c r="W139" s="95"/>
      <c r="X139" s="519" t="str">
        <f>IF($Q$121="設定しない","",IF(手引き!$C$49="○","額に迎車回送料金を加えた合計額とする。",""))</f>
        <v/>
      </c>
      <c r="Y139" s="519"/>
      <c r="Z139" s="519"/>
      <c r="AA139" s="519"/>
      <c r="AB139" s="519"/>
      <c r="AC139" s="519"/>
      <c r="AD139" s="519"/>
      <c r="AE139" s="519"/>
      <c r="AF139" s="519"/>
      <c r="AG139" s="519"/>
      <c r="AH139" s="519"/>
      <c r="AI139" s="519"/>
      <c r="AJ139" s="519"/>
      <c r="AK139" s="519"/>
      <c r="AL139" s="519"/>
    </row>
    <row r="140" spans="1:38" ht="12" customHeight="1" x14ac:dyDescent="0.2">
      <c r="A140" s="84">
        <v>10</v>
      </c>
      <c r="B140" s="95" t="str">
        <f>IF(OR(U140=0,U140=""),"",VLOOKUP(COUNTIF($U$122:U140,"・"),名前2!$A$18:$B$44,2,0))</f>
        <v/>
      </c>
      <c r="C140" s="519" t="str">
        <f t="shared" si="2"/>
        <v/>
      </c>
      <c r="D140" s="519"/>
      <c r="E140" s="519"/>
      <c r="F140" s="519"/>
      <c r="G140" s="519"/>
      <c r="H140" s="519"/>
      <c r="I140" s="519"/>
      <c r="J140" s="519"/>
      <c r="K140" s="519"/>
      <c r="L140" s="519"/>
      <c r="M140" s="519"/>
      <c r="N140" s="519"/>
      <c r="O140" s="519"/>
      <c r="P140" s="519"/>
      <c r="Q140" s="519"/>
      <c r="R140" s="519"/>
      <c r="S140" s="519"/>
      <c r="T140" s="519"/>
      <c r="U140" s="95" t="str">
        <f t="shared" si="3"/>
        <v/>
      </c>
      <c r="V140" s="80" t="str">
        <f>IF($X140&lt;&gt;"",MAX(V$120:V139)+1,"")</f>
        <v/>
      </c>
      <c r="W140" s="95" t="s">
        <v>129</v>
      </c>
      <c r="X140" s="520" t="str">
        <f>IF($Q$121="設定しない","",IF(手引き!$C$49="○","迎車回送料金は、割増及び割引の適用をしない。",""))</f>
        <v/>
      </c>
      <c r="Y140" s="520"/>
      <c r="Z140" s="520"/>
      <c r="AA140" s="520"/>
      <c r="AB140" s="520"/>
      <c r="AC140" s="520"/>
      <c r="AD140" s="520"/>
      <c r="AE140" s="520"/>
      <c r="AF140" s="520"/>
      <c r="AG140" s="520"/>
      <c r="AH140" s="520"/>
      <c r="AI140" s="520"/>
      <c r="AJ140" s="520"/>
      <c r="AK140" s="520"/>
      <c r="AL140" s="520"/>
    </row>
    <row r="141" spans="1:38" ht="12" customHeight="1" x14ac:dyDescent="0.2">
      <c r="A141" s="84">
        <v>11</v>
      </c>
      <c r="B141" s="95" t="str">
        <f>IF(OR(U141=0,U141=""),"",VLOOKUP(COUNTIF($U$122:U141,"・"),名前2!$A$18:$B$44,2,0))</f>
        <v/>
      </c>
      <c r="C141" s="519" t="str">
        <f t="shared" si="2"/>
        <v/>
      </c>
      <c r="D141" s="519"/>
      <c r="E141" s="519"/>
      <c r="F141" s="519"/>
      <c r="G141" s="519"/>
      <c r="H141" s="519"/>
      <c r="I141" s="519"/>
      <c r="J141" s="519"/>
      <c r="K141" s="519"/>
      <c r="L141" s="519"/>
      <c r="M141" s="519"/>
      <c r="N141" s="519"/>
      <c r="O141" s="519"/>
      <c r="P141" s="519"/>
      <c r="Q141" s="519"/>
      <c r="R141" s="519"/>
      <c r="S141" s="519"/>
      <c r="T141" s="519"/>
      <c r="U141" s="95" t="str">
        <f t="shared" si="3"/>
        <v/>
      </c>
      <c r="W141" s="95"/>
    </row>
    <row r="142" spans="1:38" ht="12" customHeight="1" x14ac:dyDescent="0.2">
      <c r="A142" s="84">
        <v>12</v>
      </c>
      <c r="B142" s="95" t="str">
        <f>IF(OR(U142=0,U142=""),"",VLOOKUP(COUNTIF($U$122:U142,"・"),名前2!$A$18:$B$44,2,0))</f>
        <v/>
      </c>
      <c r="C142" s="519" t="str">
        <f t="shared" si="2"/>
        <v/>
      </c>
      <c r="D142" s="519"/>
      <c r="E142" s="519"/>
      <c r="F142" s="519"/>
      <c r="G142" s="519"/>
      <c r="H142" s="519"/>
      <c r="I142" s="519"/>
      <c r="J142" s="519"/>
      <c r="K142" s="519"/>
      <c r="L142" s="519"/>
      <c r="M142" s="519"/>
      <c r="N142" s="519"/>
      <c r="O142" s="519"/>
      <c r="P142" s="519"/>
      <c r="Q142" s="519"/>
      <c r="R142" s="519"/>
      <c r="S142" s="519"/>
      <c r="T142" s="519"/>
      <c r="U142" s="95" t="str">
        <f t="shared" si="3"/>
        <v/>
      </c>
      <c r="W142" s="95"/>
    </row>
    <row r="143" spans="1:38" ht="12" customHeight="1" x14ac:dyDescent="0.2">
      <c r="A143" s="84">
        <v>13</v>
      </c>
      <c r="B143" s="95" t="str">
        <f>IF(OR(U143=0,U143=""),"",VLOOKUP(COUNTIF($U$122:U143,"・"),名前2!$A$18:$B$44,2,0))</f>
        <v/>
      </c>
      <c r="C143" s="519" t="str">
        <f t="shared" si="2"/>
        <v/>
      </c>
      <c r="D143" s="519"/>
      <c r="E143" s="519"/>
      <c r="F143" s="519"/>
      <c r="G143" s="519"/>
      <c r="H143" s="519"/>
      <c r="I143" s="519"/>
      <c r="J143" s="519"/>
      <c r="K143" s="519"/>
      <c r="L143" s="519"/>
      <c r="M143" s="519"/>
      <c r="N143" s="519"/>
      <c r="O143" s="519"/>
      <c r="P143" s="519"/>
      <c r="Q143" s="519"/>
      <c r="R143" s="519"/>
      <c r="S143" s="519"/>
      <c r="T143" s="519"/>
      <c r="U143" s="95" t="str">
        <f t="shared" si="3"/>
        <v/>
      </c>
      <c r="W143" s="95"/>
    </row>
    <row r="144" spans="1:38" ht="12" customHeight="1" x14ac:dyDescent="0.2">
      <c r="A144" s="84">
        <v>14</v>
      </c>
      <c r="B144" s="95" t="str">
        <f>IF(OR(U144=0,U144=""),"",VLOOKUP(COUNTIF($U$122:U144,"・"),名前2!$A$18:$B$44,2,0))</f>
        <v/>
      </c>
      <c r="C144" s="519" t="str">
        <f t="shared" si="2"/>
        <v/>
      </c>
      <c r="D144" s="519"/>
      <c r="E144" s="519"/>
      <c r="F144" s="519"/>
      <c r="G144" s="519"/>
      <c r="H144" s="519"/>
      <c r="I144" s="519"/>
      <c r="J144" s="519"/>
      <c r="K144" s="519"/>
      <c r="L144" s="519"/>
      <c r="M144" s="519"/>
      <c r="N144" s="519"/>
      <c r="O144" s="519"/>
      <c r="P144" s="519"/>
      <c r="Q144" s="519"/>
      <c r="R144" s="519"/>
      <c r="S144" s="519"/>
      <c r="T144" s="519"/>
      <c r="U144" s="95" t="str">
        <f t="shared" si="3"/>
        <v/>
      </c>
      <c r="W144" s="95"/>
    </row>
    <row r="145" spans="1:44" ht="12" customHeight="1" x14ac:dyDescent="0.2">
      <c r="A145" s="84">
        <v>15</v>
      </c>
      <c r="B145" s="95" t="str">
        <f>IF(OR(U145=0,U145=""),"",VLOOKUP(COUNTIF($U$122:U145,"・"),名前2!$A$18:$B$44,2,0))</f>
        <v/>
      </c>
      <c r="C145" s="519" t="str">
        <f t="shared" si="2"/>
        <v/>
      </c>
      <c r="D145" s="519"/>
      <c r="E145" s="519"/>
      <c r="F145" s="519"/>
      <c r="G145" s="519"/>
      <c r="H145" s="519"/>
      <c r="I145" s="519"/>
      <c r="J145" s="519"/>
      <c r="K145" s="519"/>
      <c r="L145" s="519"/>
      <c r="M145" s="519"/>
      <c r="N145" s="519"/>
      <c r="O145" s="519"/>
      <c r="P145" s="519"/>
      <c r="Q145" s="519"/>
      <c r="R145" s="519"/>
      <c r="S145" s="519"/>
      <c r="T145" s="519"/>
      <c r="U145" s="95" t="str">
        <f t="shared" si="3"/>
        <v/>
      </c>
    </row>
    <row r="146" spans="1:44" ht="12" customHeight="1" x14ac:dyDescent="0.2">
      <c r="A146" s="84">
        <v>16</v>
      </c>
      <c r="B146" s="95" t="str">
        <f>IF(OR(U146=0,U146=""),"",VLOOKUP(COUNTIF($U$122:U146,"・"),名前2!$A$18:$B$44,2,0))</f>
        <v/>
      </c>
      <c r="C146" s="519" t="str">
        <f t="shared" si="2"/>
        <v/>
      </c>
      <c r="D146" s="519"/>
      <c r="E146" s="519"/>
      <c r="F146" s="519"/>
      <c r="G146" s="519"/>
      <c r="H146" s="519"/>
      <c r="I146" s="519"/>
      <c r="J146" s="519"/>
      <c r="K146" s="519"/>
      <c r="L146" s="519"/>
      <c r="M146" s="519"/>
      <c r="N146" s="519"/>
      <c r="O146" s="519"/>
      <c r="P146" s="519"/>
      <c r="Q146" s="519"/>
      <c r="R146" s="519"/>
      <c r="S146" s="519"/>
      <c r="T146" s="519"/>
      <c r="U146" s="95" t="str">
        <f t="shared" si="3"/>
        <v/>
      </c>
    </row>
    <row r="147" spans="1:44" ht="12" customHeight="1" x14ac:dyDescent="0.2">
      <c r="A147" s="84">
        <v>17</v>
      </c>
      <c r="B147" s="95" t="str">
        <f>IF(OR(U147=0,U147=""),"",VLOOKUP(COUNTIF($U$122:U147,"・"),名前2!$A$18:$B$44,2,0))</f>
        <v/>
      </c>
      <c r="C147" s="519" t="str">
        <f t="shared" si="2"/>
        <v/>
      </c>
      <c r="D147" s="519"/>
      <c r="E147" s="519"/>
      <c r="F147" s="519"/>
      <c r="G147" s="519"/>
      <c r="H147" s="519"/>
      <c r="I147" s="519"/>
      <c r="J147" s="519"/>
      <c r="K147" s="519"/>
      <c r="L147" s="519"/>
      <c r="M147" s="519"/>
      <c r="N147" s="519"/>
      <c r="O147" s="519"/>
      <c r="P147" s="519"/>
      <c r="Q147" s="519"/>
      <c r="R147" s="519"/>
      <c r="S147" s="519"/>
      <c r="T147" s="519"/>
      <c r="U147" s="95" t="str">
        <f t="shared" si="3"/>
        <v/>
      </c>
    </row>
    <row r="148" spans="1:44" ht="12" customHeight="1" x14ac:dyDescent="0.2">
      <c r="A148" s="84">
        <v>18</v>
      </c>
      <c r="B148" s="95" t="str">
        <f>IF(OR(U148=0,U148=""),"",VLOOKUP(COUNTIF($U$122:U148,"・"),名前2!$A$18:$B$44,2,0))</f>
        <v/>
      </c>
      <c r="C148" s="519" t="str">
        <f t="shared" si="2"/>
        <v/>
      </c>
      <c r="D148" s="519"/>
      <c r="E148" s="519"/>
      <c r="F148" s="519"/>
      <c r="G148" s="519"/>
      <c r="H148" s="519"/>
      <c r="I148" s="519"/>
      <c r="J148" s="519"/>
      <c r="K148" s="519"/>
      <c r="L148" s="519"/>
      <c r="M148" s="519"/>
      <c r="N148" s="519"/>
      <c r="O148" s="519"/>
      <c r="P148" s="519"/>
      <c r="Q148" s="519"/>
      <c r="R148" s="519"/>
      <c r="S148" s="519"/>
      <c r="T148" s="519"/>
      <c r="U148" s="95" t="str">
        <f t="shared" si="3"/>
        <v/>
      </c>
      <c r="V148" s="52">
        <v>1</v>
      </c>
      <c r="W148" s="52" t="s">
        <v>129</v>
      </c>
      <c r="X148" s="52" t="s">
        <v>111</v>
      </c>
      <c r="AM148" s="85"/>
    </row>
    <row r="149" spans="1:44" ht="12" customHeight="1" x14ac:dyDescent="0.2">
      <c r="A149" s="84">
        <v>19</v>
      </c>
      <c r="B149" s="95" t="str">
        <f>IF(OR(U149=0,U149=""),"",VLOOKUP(COUNTIF($U$122:U149,"・"),名前2!$A$18:$B$44,2,0))</f>
        <v/>
      </c>
      <c r="C149" s="519" t="str">
        <f t="shared" si="2"/>
        <v/>
      </c>
      <c r="D149" s="519"/>
      <c r="E149" s="519"/>
      <c r="F149" s="519"/>
      <c r="G149" s="519"/>
      <c r="H149" s="519"/>
      <c r="I149" s="519"/>
      <c r="J149" s="519"/>
      <c r="K149" s="519"/>
      <c r="L149" s="519"/>
      <c r="M149" s="519"/>
      <c r="N149" s="519"/>
      <c r="O149" s="519"/>
      <c r="P149" s="519"/>
      <c r="Q149" s="519"/>
      <c r="R149" s="519"/>
      <c r="S149" s="519"/>
      <c r="T149" s="519"/>
      <c r="U149" s="95" t="str">
        <f t="shared" si="3"/>
        <v/>
      </c>
      <c r="V149" s="80" t="str">
        <f>IF($X149&lt;&gt;"",MAX(V$148:V148)+1,"")</f>
        <v/>
      </c>
      <c r="W149" s="80" t="s">
        <v>129</v>
      </c>
      <c r="X149" s="80" t="str">
        <f>IF(手引き!$B$57="設定する","精神障害者割引は、精神保健及び精神障害者福祉に関する法律に規定する精神障害者保健福祉手帳の交付を受けている者について適用する。","")</f>
        <v/>
      </c>
      <c r="Y149" s="85"/>
      <c r="Z149" s="85"/>
      <c r="AA149" s="85"/>
      <c r="AB149" s="85"/>
      <c r="AC149" s="85"/>
      <c r="AD149" s="85"/>
      <c r="AE149" s="85"/>
      <c r="AF149" s="85"/>
      <c r="AG149" s="85"/>
      <c r="AH149" s="85"/>
      <c r="AI149" s="85"/>
      <c r="AJ149" s="85"/>
      <c r="AK149" s="85"/>
      <c r="AL149" s="85"/>
      <c r="AM149" s="85"/>
    </row>
    <row r="150" spans="1:44" ht="12" customHeight="1" x14ac:dyDescent="0.2">
      <c r="A150" s="84">
        <v>20</v>
      </c>
      <c r="B150" s="95" t="str">
        <f>IF(OR(U150=0,U150=""),"",VLOOKUP(COUNTIF($U$122:U150,"・"),名前2!$A$18:$B$44,2,0))</f>
        <v/>
      </c>
      <c r="C150" s="519" t="str">
        <f t="shared" si="2"/>
        <v/>
      </c>
      <c r="D150" s="519"/>
      <c r="E150" s="519"/>
      <c r="F150" s="519"/>
      <c r="G150" s="519"/>
      <c r="H150" s="519"/>
      <c r="I150" s="519"/>
      <c r="J150" s="519"/>
      <c r="K150" s="519"/>
      <c r="L150" s="519"/>
      <c r="M150" s="519"/>
      <c r="N150" s="519"/>
      <c r="O150" s="519"/>
      <c r="P150" s="519"/>
      <c r="Q150" s="519"/>
      <c r="R150" s="519"/>
      <c r="S150" s="519"/>
      <c r="T150" s="519"/>
      <c r="U150" s="95" t="str">
        <f t="shared" si="3"/>
        <v/>
      </c>
      <c r="V150" s="95" t="str">
        <f>IF($X150&lt;&gt;"",MAX(V$148:V149)+1,"")</f>
        <v/>
      </c>
      <c r="W150" s="80" t="s">
        <v>129</v>
      </c>
      <c r="X150" s="80" t="str">
        <f>IF(手引き!$B$58="設定する","高齢者割引は、公的機関が発行した年齢を確認できる書面等の提示をした65歳以上の者について適用する。","")</f>
        <v/>
      </c>
      <c r="Y150" s="85"/>
      <c r="Z150" s="85"/>
      <c r="AA150" s="85"/>
      <c r="AB150" s="85"/>
      <c r="AC150" s="85"/>
      <c r="AD150" s="85"/>
      <c r="AE150" s="85"/>
      <c r="AF150" s="85"/>
      <c r="AG150" s="85"/>
      <c r="AH150" s="85"/>
      <c r="AI150" s="85"/>
      <c r="AJ150" s="85"/>
      <c r="AK150" s="85"/>
      <c r="AL150" s="85"/>
      <c r="AM150" s="85"/>
    </row>
    <row r="151" spans="1:44" ht="12" customHeight="1" x14ac:dyDescent="0.2">
      <c r="B151" s="83" t="s">
        <v>287</v>
      </c>
      <c r="C151" s="80"/>
      <c r="D151" s="80"/>
      <c r="E151" s="80"/>
      <c r="F151" s="80"/>
      <c r="G151" s="80"/>
      <c r="H151" s="80"/>
      <c r="I151" s="80"/>
      <c r="J151" s="80"/>
      <c r="K151" s="80"/>
      <c r="L151" s="80"/>
      <c r="M151" s="80"/>
      <c r="N151" s="80"/>
      <c r="O151" s="80"/>
      <c r="P151" s="80"/>
      <c r="Q151" s="80"/>
      <c r="R151" s="80"/>
      <c r="S151" s="80"/>
      <c r="T151" s="80"/>
      <c r="V151" s="95" t="str">
        <f>IF($X151&lt;&gt;"",MAX(V$148:V150)+1,"")</f>
        <v/>
      </c>
      <c r="W151" s="80" t="s">
        <v>129</v>
      </c>
      <c r="X151" s="80" t="str">
        <f>IF(手引き!$B$59="設定する","運転免許証返納者割引は、自動車運転免許の全部を自ら返納することにより、公安委員会で発行される運転経歴証明書の交付を受けている者について適用する。","")</f>
        <v/>
      </c>
      <c r="Y151" s="85"/>
      <c r="Z151" s="85"/>
      <c r="AA151" s="85"/>
      <c r="AB151" s="85"/>
      <c r="AC151" s="85"/>
      <c r="AD151" s="85"/>
      <c r="AE151" s="85"/>
      <c r="AF151" s="85"/>
      <c r="AG151" s="85"/>
      <c r="AH151" s="85"/>
      <c r="AI151" s="85"/>
      <c r="AJ151" s="85"/>
      <c r="AK151" s="85"/>
      <c r="AL151" s="85"/>
      <c r="AM151" s="85"/>
    </row>
    <row r="152" spans="1:44" ht="12" customHeight="1" x14ac:dyDescent="0.2">
      <c r="B152" s="95" t="str">
        <f>IF(OR(U152=0,U152=""),"",VLOOKUP(COUNTIF($U$152:U152,"・"),名前2!$A$18:$B$44,2,0))</f>
        <v>イ</v>
      </c>
      <c r="C152" s="519" t="str">
        <f>IF($Q$121="設定しない","","時間制による運賃は、観光用、冠婚葬祭用等で距離制により難く、かつ時間制によることを特約した場合に適用する。")</f>
        <v>時間制による運賃は、観光用、冠婚葬祭用等で距離制により難く、かつ時間制によることを特約した場合に適用する。</v>
      </c>
      <c r="D152" s="519"/>
      <c r="E152" s="519"/>
      <c r="F152" s="519"/>
      <c r="G152" s="519"/>
      <c r="H152" s="519"/>
      <c r="I152" s="519"/>
      <c r="J152" s="519"/>
      <c r="K152" s="519"/>
      <c r="L152" s="519"/>
      <c r="M152" s="519"/>
      <c r="N152" s="519"/>
      <c r="O152" s="519"/>
      <c r="P152" s="519"/>
      <c r="Q152" s="519"/>
      <c r="R152" s="519"/>
      <c r="S152" s="519"/>
      <c r="T152" s="519"/>
      <c r="U152" s="52" t="str">
        <f>IF(C152="","","・")</f>
        <v>・</v>
      </c>
      <c r="V152" s="95">
        <f>IF($X152&lt;&gt;"",MAX(V$148:V151)+1,"")</f>
        <v>2</v>
      </c>
      <c r="W152" s="80" t="s">
        <v>129</v>
      </c>
      <c r="X152" s="80" t="str">
        <f>"時間制による身体障害者割引、知的障害者割引"&amp;IF(手引き!$B$57="設定する","、精神障害者割引","")&amp;IF(手引き!$B$58="設定する","、高齢者割引","")&amp;IF(手引き!$B$59="設定する","、運転免許証返納者割引","")&amp;"は、"</f>
        <v>時間制による身体障害者割引、知的障害者割引は、</v>
      </c>
      <c r="Y152" s="85"/>
      <c r="Z152" s="85"/>
      <c r="AA152" s="85"/>
      <c r="AB152" s="85"/>
      <c r="AC152" s="85"/>
      <c r="AD152" s="85"/>
      <c r="AE152" s="85"/>
      <c r="AF152" s="85"/>
      <c r="AG152" s="85"/>
      <c r="AH152" s="85"/>
      <c r="AI152" s="85"/>
      <c r="AJ152" s="85"/>
      <c r="AK152" s="85"/>
      <c r="AL152" s="85"/>
      <c r="AM152" s="85"/>
    </row>
    <row r="153" spans="1:44" ht="12" customHeight="1" x14ac:dyDescent="0.2">
      <c r="B153" s="95" t="str">
        <f>IF(OR(U153=0,U153=""),"",VLOOKUP(COUNTIF($U$152:U153,"・"),名前2!$A$18:$B$44,2,0))</f>
        <v>ロ</v>
      </c>
      <c r="C153" s="519" t="s">
        <v>109</v>
      </c>
      <c r="D153" s="519"/>
      <c r="E153" s="519"/>
      <c r="F153" s="519"/>
      <c r="G153" s="519"/>
      <c r="H153" s="519"/>
      <c r="I153" s="519"/>
      <c r="J153" s="519"/>
      <c r="K153" s="519"/>
      <c r="L153" s="519"/>
      <c r="M153" s="519"/>
      <c r="N153" s="519"/>
      <c r="O153" s="519"/>
      <c r="P153" s="519"/>
      <c r="Q153" s="519"/>
      <c r="R153" s="519"/>
      <c r="S153" s="519"/>
      <c r="T153" s="519"/>
      <c r="U153" s="91" t="str">
        <f t="shared" ref="U153:U157" si="4">IF(C153="","","・")</f>
        <v>・</v>
      </c>
      <c r="V153" s="95">
        <f>IF($X153&lt;&gt;"",MAX(V$148:V152)+1,"")</f>
        <v>3</v>
      </c>
      <c r="W153" s="80"/>
      <c r="X153" s="80" t="str">
        <f>"上記により算出した運賃額に 0.9を乗じ、10円未満の端数を切り捨てた額とする。"</f>
        <v>上記により算出した運賃額に 0.9を乗じ、10円未満の端数を切り捨てた額とする。</v>
      </c>
      <c r="Y153" s="85"/>
      <c r="Z153" s="85"/>
      <c r="AA153" s="85"/>
      <c r="AB153" s="85"/>
      <c r="AC153" s="85"/>
      <c r="AD153" s="85"/>
      <c r="AE153" s="85"/>
      <c r="AF153" s="85"/>
      <c r="AG153" s="85"/>
      <c r="AH153" s="85"/>
      <c r="AI153" s="85"/>
      <c r="AJ153" s="85"/>
      <c r="AK153" s="85"/>
      <c r="AL153" s="85"/>
      <c r="AM153" s="85"/>
    </row>
    <row r="154" spans="1:44" ht="12" customHeight="1" x14ac:dyDescent="0.2">
      <c r="B154" s="95" t="e">
        <f>IF(OR(U154=0,U154=""),"",VLOOKUP(COUNTIF($U$152:U154,"・"),名前2!$A$18:$B$44,2,0))</f>
        <v>#N/A</v>
      </c>
      <c r="C154" s="519" t="e">
        <f>IF($AD$2="到着時算定開始","時間制による時間の計算は、旅客の指定した場所に到着した時から旅客の運送を終了するまでの実拘束時間による。","時間制による時間の計算は、通常、営業所又は車庫を旅客の要求により発車した時から運送を終わるまでの時間による。")</f>
        <v>#N/A</v>
      </c>
      <c r="D154" s="519"/>
      <c r="E154" s="519"/>
      <c r="F154" s="519"/>
      <c r="G154" s="519"/>
      <c r="H154" s="519"/>
      <c r="I154" s="519"/>
      <c r="J154" s="519"/>
      <c r="K154" s="519"/>
      <c r="L154" s="519"/>
      <c r="M154" s="519"/>
      <c r="N154" s="519"/>
      <c r="O154" s="519"/>
      <c r="P154" s="519"/>
      <c r="Q154" s="519"/>
      <c r="R154" s="519"/>
      <c r="S154" s="519"/>
      <c r="T154" s="519"/>
      <c r="U154" s="91" t="e">
        <f t="shared" si="4"/>
        <v>#N/A</v>
      </c>
      <c r="V154" s="95">
        <f>IF($X154&lt;&gt;"",MAX(V$148:V153)+1,"")</f>
        <v>4</v>
      </c>
      <c r="W154" s="95" t="s">
        <v>304</v>
      </c>
      <c r="X154" s="95" t="str">
        <f>"時間制による身体障害者割引、知的障害者割引"&amp;IF(手引き!$B$57="設定する","、精神障害者割引","")&amp;IF(手引き!$B$58="設定する","、高齢者割引","")&amp;IF(手引き!$B$59="設定する","、運転免許証返納者割引","")&amp;"は、重複して適用しないものとする。"</f>
        <v>時間制による身体障害者割引、知的障害者割引は、重複して適用しないものとする。</v>
      </c>
      <c r="Y154" s="97"/>
      <c r="Z154" s="97"/>
      <c r="AA154" s="97"/>
      <c r="AB154" s="97"/>
      <c r="AC154" s="97"/>
      <c r="AD154" s="97"/>
      <c r="AE154" s="97"/>
      <c r="AF154" s="97"/>
      <c r="AG154" s="97"/>
      <c r="AH154" s="97"/>
      <c r="AI154" s="97"/>
      <c r="AJ154" s="97"/>
      <c r="AK154" s="97"/>
      <c r="AL154" s="97"/>
      <c r="AM154" s="97"/>
      <c r="AN154" s="91"/>
      <c r="AO154" s="91"/>
      <c r="AP154" s="91"/>
      <c r="AQ154" s="91"/>
      <c r="AR154" s="91"/>
    </row>
    <row r="155" spans="1:44" ht="12" customHeight="1" x14ac:dyDescent="0.2">
      <c r="B155" s="95" t="e">
        <f>IF(OR(U155=0,U155=""),"",VLOOKUP(COUNTIF($U$152:U155,"・"),名前2!$A$18:$B$44,2,0))</f>
        <v>#N/A</v>
      </c>
      <c r="C155" s="519" t="e">
        <f>IF(V54=0,"時間制運賃は"&amp;MAX($H$48:$H$51)&amp;"分単位とし、"&amp;MAX($H$48:$H$51)&amp;"分未満の端数が生じた場合は、切り上げるものとする。","時間制運賃は"&amp;MAX($H$48:$H$51)&amp;"分・"&amp;MAX($H$54:$H$57)&amp;"分単位とし、"&amp;MAX($H$48:$H$51)&amp;"分・"&amp;MAX($H$54:$H$57)&amp;"分未満の端数が生じた場合は、切り上げるものとする。")</f>
        <v>#N/A</v>
      </c>
      <c r="D155" s="519"/>
      <c r="E155" s="519"/>
      <c r="F155" s="519"/>
      <c r="G155" s="519"/>
      <c r="H155" s="519"/>
      <c r="I155" s="519"/>
      <c r="J155" s="519"/>
      <c r="K155" s="519"/>
      <c r="L155" s="519"/>
      <c r="M155" s="519"/>
      <c r="N155" s="519"/>
      <c r="O155" s="519"/>
      <c r="P155" s="519"/>
      <c r="Q155" s="519"/>
      <c r="R155" s="519"/>
      <c r="S155" s="519"/>
      <c r="T155" s="519"/>
      <c r="U155" s="91" t="e">
        <f t="shared" si="4"/>
        <v>#N/A</v>
      </c>
      <c r="V155" s="95">
        <f>IF($X155&lt;&gt;"",MAX(V$148:V154)+1,"")</f>
        <v>5</v>
      </c>
      <c r="W155" s="80" t="s">
        <v>129</v>
      </c>
      <c r="X155" s="80" t="str">
        <f>IF($Q$121="設定しない","時間制による契約の場合は、前面に「貸切」の表示をする。","時間制による契約の場合は、メーター器にカバーを用い前面に「貸切」の表示をする。")</f>
        <v>時間制による契約の場合は、メーター器にカバーを用い前面に「貸切」の表示をする。</v>
      </c>
      <c r="Y155" s="85"/>
      <c r="Z155" s="85"/>
      <c r="AA155" s="85"/>
      <c r="AB155" s="85"/>
      <c r="AC155" s="85"/>
      <c r="AD155" s="85"/>
      <c r="AE155" s="85"/>
      <c r="AF155" s="85"/>
      <c r="AG155" s="85"/>
      <c r="AH155" s="85"/>
      <c r="AI155" s="85"/>
      <c r="AJ155" s="85"/>
      <c r="AK155" s="85"/>
      <c r="AL155" s="85"/>
    </row>
    <row r="156" spans="1:44" ht="12" customHeight="1" x14ac:dyDescent="0.2">
      <c r="B156" s="95" t="str">
        <f>IF(OR(U156=0,U156=""),"",VLOOKUP(COUNTIF($U$152:U156,"・"),名前2!$A$18:$B$44,2,0))</f>
        <v>ハ</v>
      </c>
      <c r="C156" s="519" t="str">
        <f>IF(Q121="設定しない","",IF(手引き!B60="設定する","時間制による運賃には、割増及び遠距離割引は適用しない。","時間制による運賃には、割増は適用しない。"))</f>
        <v>時間制による運賃には、割増は適用しない。</v>
      </c>
      <c r="D156" s="519"/>
      <c r="E156" s="519"/>
      <c r="F156" s="519"/>
      <c r="G156" s="519"/>
      <c r="H156" s="519"/>
      <c r="I156" s="519"/>
      <c r="J156" s="519"/>
      <c r="K156" s="519"/>
      <c r="L156" s="519"/>
      <c r="M156" s="519"/>
      <c r="N156" s="519"/>
      <c r="O156" s="519"/>
      <c r="P156" s="519"/>
      <c r="Q156" s="519"/>
      <c r="R156" s="519"/>
      <c r="S156" s="519"/>
      <c r="T156" s="519"/>
      <c r="U156" s="91" t="str">
        <f t="shared" si="4"/>
        <v>・</v>
      </c>
    </row>
    <row r="157" spans="1:44" ht="12" customHeight="1" x14ac:dyDescent="0.2">
      <c r="B157" s="95" t="str">
        <f>IF(OR(U157=0,U157=""),"",VLOOKUP(COUNTIF($U$152:U157,"・"),名前2!$A$18:$B$44,2,0))</f>
        <v>ニ</v>
      </c>
      <c r="C157" s="519" t="s">
        <v>110</v>
      </c>
      <c r="D157" s="519"/>
      <c r="E157" s="519"/>
      <c r="F157" s="519"/>
      <c r="G157" s="519"/>
      <c r="H157" s="519"/>
      <c r="I157" s="519"/>
      <c r="J157" s="519"/>
      <c r="K157" s="519"/>
      <c r="L157" s="519"/>
      <c r="M157" s="519"/>
      <c r="N157" s="519"/>
      <c r="O157" s="519"/>
      <c r="P157" s="519"/>
      <c r="Q157" s="519"/>
      <c r="R157" s="519"/>
      <c r="S157" s="519"/>
      <c r="T157" s="519"/>
      <c r="U157" s="91" t="str">
        <f t="shared" si="4"/>
        <v>・</v>
      </c>
    </row>
    <row r="158" spans="1:44" ht="12" customHeight="1" x14ac:dyDescent="0.2">
      <c r="A158" s="84">
        <v>1</v>
      </c>
      <c r="B158" s="95" t="str">
        <f>IF(OR(U158=0,U158=""),"",VLOOKUP(COUNTIF($U$152:U158,"・"),名前2!$A$18:$B$44,2,0))</f>
        <v>ホ</v>
      </c>
      <c r="C158" s="519" t="str">
        <f t="shared" ref="C158:C164" si="5">IF(ISERROR(VLOOKUP(A158,$V$148:$AL$155,3,0)),"",VLOOKUP(A158,$V$148:$AL$155,3,0))</f>
        <v>知的障害者割引は、療育手帳制度要綱（昭和48年９月27日、厚生事務次官通知）に規定する知的障害者の療育手帳の交付を受けている者について適用する。</v>
      </c>
      <c r="D158" s="519"/>
      <c r="E158" s="519"/>
      <c r="F158" s="519"/>
      <c r="G158" s="519"/>
      <c r="H158" s="519"/>
      <c r="I158" s="519"/>
      <c r="J158" s="519"/>
      <c r="K158" s="519"/>
      <c r="L158" s="519"/>
      <c r="M158" s="519"/>
      <c r="N158" s="519"/>
      <c r="O158" s="519"/>
      <c r="P158" s="519"/>
      <c r="Q158" s="519"/>
      <c r="R158" s="519"/>
      <c r="S158" s="519"/>
      <c r="T158" s="519"/>
      <c r="U158" s="95" t="str">
        <f t="shared" ref="U158:U165" si="6">IF(ISERROR(VLOOKUP($A158,$V$148:$AL$155,2,0)),"",VLOOKUP($A158,$V$148:$AL$155,2,0))</f>
        <v>・</v>
      </c>
      <c r="V158" s="52">
        <v>1</v>
      </c>
      <c r="W158" s="80" t="str">
        <f>IF(X158="","","・")</f>
        <v>・</v>
      </c>
      <c r="X158" s="80" t="str">
        <f>IF($Q$167="設定しない","","介護輸送サービスに係る運賃は、福祉輸送サービスのうち、介護保険サービス等と連続して")</f>
        <v>介護輸送サービスに係る運賃は、福祉輸送サービスのうち、介護保険サービス等と連続して</v>
      </c>
    </row>
    <row r="159" spans="1:44" ht="12" customHeight="1" x14ac:dyDescent="0.2">
      <c r="A159" s="84">
        <v>2</v>
      </c>
      <c r="B159" s="95" t="str">
        <f>IF(OR(U159=0,U159=""),"",VLOOKUP(COUNTIF($U$152:U159,"・"),名前2!$A$18:$B$44,2,0))</f>
        <v>ヘ</v>
      </c>
      <c r="C159" s="519" t="str">
        <f t="shared" si="5"/>
        <v>時間制による身体障害者割引、知的障害者割引は、</v>
      </c>
      <c r="D159" s="519"/>
      <c r="E159" s="519"/>
      <c r="F159" s="519"/>
      <c r="G159" s="519"/>
      <c r="H159" s="519"/>
      <c r="I159" s="519"/>
      <c r="J159" s="519"/>
      <c r="K159" s="519"/>
      <c r="L159" s="519"/>
      <c r="M159" s="519"/>
      <c r="N159" s="519"/>
      <c r="O159" s="519"/>
      <c r="P159" s="519"/>
      <c r="Q159" s="519"/>
      <c r="R159" s="519"/>
      <c r="S159" s="519"/>
      <c r="T159" s="519"/>
      <c r="U159" s="95" t="str">
        <f t="shared" si="6"/>
        <v>・</v>
      </c>
      <c r="V159" s="80">
        <f>IF($X159&lt;&gt;"",MAX(V$158:V158)+1,"")</f>
        <v>2</v>
      </c>
      <c r="W159" s="80"/>
      <c r="X159" s="80" t="str">
        <f>IF($Q$167="設定しない","","行う要介護者等の輸送サービスを行う場合に適用する。")</f>
        <v>行う要介護者等の輸送サービスを行う場合に適用する。</v>
      </c>
    </row>
    <row r="160" spans="1:44" ht="12" customHeight="1" x14ac:dyDescent="0.2">
      <c r="A160" s="84">
        <v>3</v>
      </c>
      <c r="B160" s="95" t="str">
        <f>IF(OR(U160=0,U160=""),"",VLOOKUP(COUNTIF($U$152:U160,"・"),名前2!$A$18:$B$44,2,0))</f>
        <v/>
      </c>
      <c r="C160" s="519" t="str">
        <f t="shared" si="5"/>
        <v>上記により算出した運賃額に 0.9を乗じ、10円未満の端数を切り捨てた額とする。</v>
      </c>
      <c r="D160" s="519"/>
      <c r="E160" s="519"/>
      <c r="F160" s="519"/>
      <c r="G160" s="519"/>
      <c r="H160" s="519"/>
      <c r="I160" s="519"/>
      <c r="J160" s="519"/>
      <c r="K160" s="519"/>
      <c r="L160" s="519"/>
      <c r="M160" s="519"/>
      <c r="N160" s="519"/>
      <c r="O160" s="519"/>
      <c r="P160" s="519"/>
      <c r="Q160" s="519"/>
      <c r="R160" s="519"/>
      <c r="S160" s="519"/>
      <c r="T160" s="519"/>
      <c r="U160" s="95">
        <f t="shared" si="6"/>
        <v>0</v>
      </c>
      <c r="V160" s="80">
        <f>IF($X160&lt;&gt;"",MAX(V$158:V159)+1,"")</f>
        <v>3</v>
      </c>
      <c r="W160" s="80" t="str">
        <f>IF(X160="","","・")</f>
        <v>・</v>
      </c>
      <c r="X160" s="80" t="str">
        <f>IF($Q$167="設定しない","","運送契約は営業所のみにおいて行い、運転者と旅客との運送契約は認めない。")</f>
        <v>運送契約は営業所のみにおいて行い、運転者と旅客との運送契約は認めない。</v>
      </c>
    </row>
    <row r="161" spans="1:25" ht="12" customHeight="1" x14ac:dyDescent="0.2">
      <c r="A161" s="84">
        <v>4</v>
      </c>
      <c r="B161" s="95" t="str">
        <f>IF(OR(U161=0,U161=""),"",VLOOKUP(COUNTIF($U$152:U161,"・"),名前2!$A$18:$B$44,2,0))</f>
        <v>ト</v>
      </c>
      <c r="C161" s="519" t="str">
        <f>IF(ISERROR(VLOOKUP(A161,$V$148:$AL$155,3,0)),"",VLOOKUP(A161,$V$148:$AL$155,3,0))</f>
        <v>時間制による身体障害者割引、知的障害者割引は、重複して適用しないものとする。</v>
      </c>
      <c r="D161" s="519"/>
      <c r="E161" s="519"/>
      <c r="F161" s="519"/>
      <c r="G161" s="519"/>
      <c r="H161" s="519"/>
      <c r="I161" s="519"/>
      <c r="J161" s="519"/>
      <c r="K161" s="519"/>
      <c r="L161" s="519"/>
      <c r="M161" s="519"/>
      <c r="N161" s="519"/>
      <c r="O161" s="519"/>
      <c r="P161" s="519"/>
      <c r="Q161" s="519"/>
      <c r="R161" s="519"/>
      <c r="S161" s="519"/>
      <c r="T161" s="519"/>
      <c r="U161" s="95" t="str">
        <f t="shared" si="6"/>
        <v>・</v>
      </c>
      <c r="V161" s="80" t="str">
        <f>IF($X161&lt;&gt;"",MAX(V$158:V160)+1,"")</f>
        <v/>
      </c>
      <c r="W161" s="80" t="str">
        <f>IF(X161="","","・")</f>
        <v/>
      </c>
      <c r="X161" s="80" t="str">
        <f>IF($Q$167="設定しない","",IF(手引き!$C$65="○","介護輸送サービスに係る運賃の算定は、旅客の乗車した地点から運送が終わった地点までの",""))</f>
        <v/>
      </c>
    </row>
    <row r="162" spans="1:25" ht="12" customHeight="1" x14ac:dyDescent="0.2">
      <c r="A162" s="84">
        <v>5</v>
      </c>
      <c r="B162" s="95" t="str">
        <f>IF(OR(U162=0,U162=""),"",VLOOKUP(COUNTIF($U$152:U162,"・"),名前2!$A$18:$B$44,2,0))</f>
        <v>チ</v>
      </c>
      <c r="C162" s="519" t="str">
        <f t="shared" si="5"/>
        <v>時間制による契約の場合は、メーター器にカバーを用い前面に「貸切」の表示をする。</v>
      </c>
      <c r="D162" s="519"/>
      <c r="E162" s="519"/>
      <c r="F162" s="519"/>
      <c r="G162" s="519"/>
      <c r="H162" s="519"/>
      <c r="I162" s="519"/>
      <c r="J162" s="519"/>
      <c r="K162" s="519"/>
      <c r="L162" s="519"/>
      <c r="M162" s="519"/>
      <c r="N162" s="519"/>
      <c r="O162" s="519"/>
      <c r="P162" s="519"/>
      <c r="Q162" s="519"/>
      <c r="R162" s="519"/>
      <c r="S162" s="519"/>
      <c r="T162" s="519"/>
      <c r="U162" s="95" t="str">
        <f t="shared" si="6"/>
        <v>・</v>
      </c>
      <c r="V162" s="80" t="str">
        <f>IF($X162&lt;&gt;"",MAX(V$158:V161)+1,"")</f>
        <v/>
      </c>
      <c r="W162" s="80"/>
      <c r="X162" s="80" t="str">
        <f>IF($Q$167="設定しない","",IF(手引き!$C$65="○","運送について行う。実車距離の計測については、車両に装備されているトリップメーターを",""))</f>
        <v/>
      </c>
    </row>
    <row r="163" spans="1:25" ht="12" customHeight="1" x14ac:dyDescent="0.2">
      <c r="A163" s="84">
        <v>6</v>
      </c>
      <c r="B163" s="95" t="str">
        <f>IF(OR(U163=0,U163=""),"",VLOOKUP(COUNTIF($U$152:U163,"・"),名前2!$A$18:$B$44,2,0))</f>
        <v/>
      </c>
      <c r="C163" s="519" t="str">
        <f t="shared" si="5"/>
        <v/>
      </c>
      <c r="D163" s="519"/>
      <c r="E163" s="519"/>
      <c r="F163" s="519"/>
      <c r="G163" s="519"/>
      <c r="H163" s="519"/>
      <c r="I163" s="519"/>
      <c r="J163" s="519"/>
      <c r="K163" s="519"/>
      <c r="L163" s="519"/>
      <c r="M163" s="519"/>
      <c r="N163" s="519"/>
      <c r="O163" s="519"/>
      <c r="P163" s="519"/>
      <c r="Q163" s="519"/>
      <c r="R163" s="519"/>
      <c r="S163" s="519"/>
      <c r="T163" s="519"/>
      <c r="U163" s="95" t="str">
        <f t="shared" si="6"/>
        <v/>
      </c>
      <c r="V163" s="80" t="str">
        <f>IF($X163&lt;&gt;"",MAX(V$158:V162)+1,"")</f>
        <v/>
      </c>
      <c r="W163" s="80"/>
      <c r="X163" s="80" t="str">
        <f>IF($Q$167="設定しない","",IF(手引き!$C$65="○","使用して計測する。",""))</f>
        <v/>
      </c>
    </row>
    <row r="164" spans="1:25" ht="12" customHeight="1" x14ac:dyDescent="0.2">
      <c r="A164" s="84">
        <v>7</v>
      </c>
      <c r="B164" s="95" t="str">
        <f>IF(OR(U164=0,U164=""),"",VLOOKUP(COUNTIF($U$152:U164,"・"),名前2!$A$18:$B$44,2,0))</f>
        <v/>
      </c>
      <c r="C164" s="519" t="str">
        <f t="shared" si="5"/>
        <v/>
      </c>
      <c r="D164" s="519"/>
      <c r="E164" s="519"/>
      <c r="F164" s="519"/>
      <c r="G164" s="519"/>
      <c r="H164" s="519"/>
      <c r="I164" s="519"/>
      <c r="J164" s="519"/>
      <c r="K164" s="519"/>
      <c r="L164" s="519"/>
      <c r="M164" s="519"/>
      <c r="N164" s="519"/>
      <c r="O164" s="519"/>
      <c r="P164" s="519"/>
      <c r="Q164" s="519"/>
      <c r="R164" s="519"/>
      <c r="S164" s="519"/>
      <c r="T164" s="519"/>
      <c r="U164" s="95" t="str">
        <f t="shared" si="6"/>
        <v/>
      </c>
      <c r="V164" s="80" t="str">
        <f>IF($X164&lt;&gt;"",MAX(V$158:V163)+1,"")</f>
        <v/>
      </c>
      <c r="W164" s="80" t="str">
        <f>IF(X164="","","・")</f>
        <v/>
      </c>
      <c r="X164" s="80" t="str">
        <f>IF($Q$167="設定しない","",IF(手引き!$C$65="○","介護輸送サービスに係る運賃は、初乗運賃"&amp;MAX(手引き!$G$66,手引き!$G$68,手引き!$G$70,手引き!$G$72)&amp;"キロメートル単位、加算運賃"&amp;MAX(手引き!$G$67,手引き!$G$69,手引き!$G$71,手引き!$G$73)&amp;"メートル",""))</f>
        <v/>
      </c>
    </row>
    <row r="165" spans="1:25" ht="12" customHeight="1" x14ac:dyDescent="0.2">
      <c r="A165" s="84">
        <v>8</v>
      </c>
      <c r="B165" s="95" t="str">
        <f>IF(OR(U165=0,U165=""),"",VLOOKUP(COUNTIF($U$152:U165,"・"),名前2!$A$18:$B$44,2,0))</f>
        <v/>
      </c>
      <c r="C165" s="519" t="str">
        <f t="shared" ref="C165" si="7">IF(ISERROR(VLOOKUP(A165,$V$148:$AL$155,3,0)),"",VLOOKUP(A165,$V$148:$AL$155,3,0))</f>
        <v/>
      </c>
      <c r="D165" s="519"/>
      <c r="E165" s="519"/>
      <c r="F165" s="519"/>
      <c r="G165" s="519"/>
      <c r="H165" s="519"/>
      <c r="I165" s="519"/>
      <c r="J165" s="519"/>
      <c r="K165" s="519"/>
      <c r="L165" s="519"/>
      <c r="M165" s="519"/>
      <c r="N165" s="519"/>
      <c r="O165" s="519"/>
      <c r="P165" s="519"/>
      <c r="Q165" s="519"/>
      <c r="R165" s="519"/>
      <c r="S165" s="519"/>
      <c r="T165" s="519"/>
      <c r="U165" s="95" t="str">
        <f t="shared" si="6"/>
        <v/>
      </c>
      <c r="V165" s="80" t="str">
        <f>IF($X165&lt;&gt;"",MAX(V$158:V164)+1,"")</f>
        <v/>
      </c>
      <c r="W165" s="80"/>
      <c r="X165" s="80" t="str">
        <f>IF($Q$167="設定しない","",IF(手引き!$C$65="○","単位とし、端数が生じた場合は、切り上げるものとする。",""))</f>
        <v/>
      </c>
    </row>
    <row r="166" spans="1:25" ht="12" customHeight="1" x14ac:dyDescent="0.2">
      <c r="B166" s="80"/>
      <c r="C166" s="88"/>
      <c r="D166" s="88"/>
      <c r="E166" s="88"/>
      <c r="F166" s="88"/>
      <c r="G166" s="88"/>
      <c r="H166" s="88"/>
      <c r="I166" s="88"/>
      <c r="J166" s="88"/>
      <c r="K166" s="88"/>
      <c r="L166" s="88"/>
      <c r="M166" s="88"/>
      <c r="N166" s="88"/>
      <c r="O166" s="88"/>
      <c r="P166" s="88"/>
      <c r="Q166" s="88"/>
      <c r="R166" s="88"/>
      <c r="S166" s="88"/>
      <c r="T166" s="88"/>
      <c r="V166" s="80" t="str">
        <f>IF($X166&lt;&gt;"",MAX(V$158:V165)+1,"")</f>
        <v/>
      </c>
      <c r="W166" s="80" t="str">
        <f>IF(X166="","","・")</f>
        <v/>
      </c>
      <c r="X166" s="79" t="str">
        <f>IF($Q$167="設定しない","",IF(手引き!$C$74="○",IF($AD$2="到着時算定開始","時間制による時間の計算は、旅客の指定した場所に到着した時から旅客の運送を終了する","時間制による時間の計算は、通常、車庫、営業所又は駐車場を旅客の要求により発車した0"),""))</f>
        <v/>
      </c>
    </row>
    <row r="167" spans="1:25" ht="12" customHeight="1" x14ac:dyDescent="0.2">
      <c r="B167" s="78" t="s">
        <v>288</v>
      </c>
      <c r="C167" s="77"/>
      <c r="D167" s="77"/>
      <c r="E167" s="77"/>
      <c r="F167" s="77"/>
      <c r="G167" s="77"/>
      <c r="H167" s="77"/>
      <c r="I167" s="77"/>
      <c r="J167" s="77" t="str">
        <f>IF(手引き!$C$65="○","（距離制運賃）",IF(手引き!$C$74="○","（時間制運賃）",IF(手引き!$C$79="○","（定額制運賃）","")))</f>
        <v/>
      </c>
      <c r="K167" s="77"/>
      <c r="L167" s="77"/>
      <c r="M167" s="77"/>
      <c r="N167" s="77"/>
      <c r="O167" s="77"/>
      <c r="P167" s="77"/>
      <c r="Q167" s="81" t="str">
        <f>IF(手引き!B63="設定しない","設定しない","")</f>
        <v/>
      </c>
      <c r="R167" s="77"/>
      <c r="S167" s="77"/>
      <c r="T167" s="77"/>
      <c r="V167" s="80" t="str">
        <f>IF($X167&lt;&gt;"",MAX(V$158:V166)+1,"")</f>
        <v/>
      </c>
      <c r="W167" s="80"/>
      <c r="X167" s="80" t="str">
        <f>IF($Q$167="設定しない","",IF(手引き!$C$74="○",IF($AD$2="到着時算定開始","までの実拘束時間による。","時から運送を終わるまでの時間による。"),""))</f>
        <v/>
      </c>
    </row>
    <row r="168" spans="1:25" ht="12" customHeight="1" x14ac:dyDescent="0.2">
      <c r="A168" s="84">
        <v>1</v>
      </c>
      <c r="B168" s="95" t="str">
        <f>IF(OR(U168=0,U168=""),"",VLOOKUP(COUNTIF($U$168:U168,"・"),名前2!$A$18:$B$44,2,0))</f>
        <v>イ</v>
      </c>
      <c r="C168" s="519" t="str">
        <f>IF(ISERROR(VLOOKUP(A168,$V$158:$AL$171,3,0)),"",VLOOKUP(A168,$V$158:$AL$171,3,0))</f>
        <v>介護輸送サービスに係る運賃は、福祉輸送サービスのうち、介護保険サービス等と連続して</v>
      </c>
      <c r="D168" s="519"/>
      <c r="E168" s="519"/>
      <c r="F168" s="519"/>
      <c r="G168" s="519"/>
      <c r="H168" s="519"/>
      <c r="I168" s="519"/>
      <c r="J168" s="519"/>
      <c r="K168" s="519"/>
      <c r="L168" s="519"/>
      <c r="M168" s="519"/>
      <c r="N168" s="519"/>
      <c r="O168" s="519"/>
      <c r="P168" s="519"/>
      <c r="Q168" s="519"/>
      <c r="R168" s="519"/>
      <c r="S168" s="519"/>
      <c r="T168" s="519"/>
      <c r="U168" s="95" t="str">
        <f t="shared" ref="U168:U179" si="8">IF(ISERROR(VLOOKUP($A168,$V$158:$AL$171,2,0)),"",VLOOKUP($A168,$V$158:$AL$171,2,0))</f>
        <v>・</v>
      </c>
      <c r="V168" s="80" t="str">
        <f>IF($X168&lt;&gt;"",MAX(V$158:V167)+1,"")</f>
        <v/>
      </c>
      <c r="W168" s="80" t="str">
        <f>IF(X168="","","・")</f>
        <v/>
      </c>
      <c r="X168" s="79" t="str">
        <f>IF($Q$167="設定しない","",IF(手引き!$C$74="○","時間制運賃は"&amp;MAX(手引き!$G$75:$G$78)&amp;"分単位とし、"&amp;MAX(手引き!$G$75:$G$78)&amp;"分未満の端数が生じた場合は、切り上げるものとする。",""))</f>
        <v/>
      </c>
    </row>
    <row r="169" spans="1:25" ht="12" customHeight="1" x14ac:dyDescent="0.2">
      <c r="A169" s="84">
        <v>2</v>
      </c>
      <c r="B169" s="95" t="str">
        <f>IF(OR(U169=0,U169=""),"",VLOOKUP(COUNTIF($U$168:U169,"・"),名前2!$A$18:$B$44,2,0))</f>
        <v/>
      </c>
      <c r="C169" s="519" t="str">
        <f>IF(ISERROR(VLOOKUP(A169,$V$158:$AL$171,3,0)),"",VLOOKUP(A169,$V$158:$AL$171,3,0))</f>
        <v>行う要介護者等の輸送サービスを行う場合に適用する。</v>
      </c>
      <c r="D169" s="519"/>
      <c r="E169" s="519"/>
      <c r="F169" s="519"/>
      <c r="G169" s="519"/>
      <c r="H169" s="519"/>
      <c r="I169" s="519"/>
      <c r="J169" s="519"/>
      <c r="K169" s="519"/>
      <c r="L169" s="519"/>
      <c r="M169" s="519"/>
      <c r="N169" s="519"/>
      <c r="O169" s="519"/>
      <c r="P169" s="519"/>
      <c r="Q169" s="519"/>
      <c r="R169" s="519"/>
      <c r="S169" s="519"/>
      <c r="T169" s="519"/>
      <c r="U169" s="95">
        <f t="shared" si="8"/>
        <v>0</v>
      </c>
      <c r="V169" s="80" t="str">
        <f>IF($X169&lt;&gt;"",MAX(V$158:V168)+1,"")</f>
        <v/>
      </c>
      <c r="W169" s="80" t="str">
        <f>IF(X169="","","・")</f>
        <v/>
      </c>
      <c r="X169" s="79" t="str">
        <f>IF($Q$167="設定しない","",IF(手引き!$C$74="○",IF($Q$121="設定しない","時間制による契約の場合は、前面に「貸切」の表示をする。","時間制による契約の場合は、メーター器にカバーを用い前面に「貸切」の表示をする。"),IF(手引き!$C$79="○","定額運賃による契約の場合は、メーター器にカバーを用い前面に「定額」の表示をする。","")))</f>
        <v/>
      </c>
    </row>
    <row r="170" spans="1:25" ht="12" customHeight="1" x14ac:dyDescent="0.2">
      <c r="A170" s="84">
        <v>3</v>
      </c>
      <c r="B170" s="95" t="str">
        <f>IF(OR(U170=0,U170=""),"",VLOOKUP(COUNTIF($U$168:U170,"・"),名前2!$A$18:$B$44,2,0))</f>
        <v>ロ</v>
      </c>
      <c r="C170" s="519" t="str">
        <f>IF(ISERROR(VLOOKUP(A170,$V$158:$AL$171,3,0)),"",VLOOKUP(A170,$V$158:$AL$171,3,0))</f>
        <v>運送契約は営業所のみにおいて行い、運転者と旅客との運送契約は認めない。</v>
      </c>
      <c r="D170" s="519"/>
      <c r="E170" s="519"/>
      <c r="F170" s="519"/>
      <c r="G170" s="519"/>
      <c r="H170" s="519"/>
      <c r="I170" s="519"/>
      <c r="J170" s="519"/>
      <c r="K170" s="519"/>
      <c r="L170" s="519"/>
      <c r="M170" s="519"/>
      <c r="N170" s="519"/>
      <c r="O170" s="519"/>
      <c r="P170" s="519"/>
      <c r="Q170" s="519"/>
      <c r="R170" s="519"/>
      <c r="S170" s="519"/>
      <c r="T170" s="519"/>
      <c r="U170" s="95" t="str">
        <f t="shared" si="8"/>
        <v>・</v>
      </c>
      <c r="V170" s="80" t="str">
        <f>IF($X170&lt;&gt;"",MAX(V$158:V169)+1,"")</f>
        <v/>
      </c>
      <c r="W170" s="80"/>
      <c r="X170" s="80"/>
    </row>
    <row r="171" spans="1:25" ht="12" customHeight="1" x14ac:dyDescent="0.2">
      <c r="A171" s="84">
        <v>4</v>
      </c>
      <c r="B171" s="95" t="str">
        <f>IF(OR(U171=0,U171=""),"",VLOOKUP(COUNTIF($U$168:U171,"・"),名前2!$A$18:$B$44,2,0))</f>
        <v/>
      </c>
      <c r="C171" s="519" t="str">
        <f t="shared" ref="C171:C179" si="9">IF(ISERROR(VLOOKUP(A171,$V$158:$AL$171,3,0)),"",VLOOKUP(A171,$V$158:$AL$171,3,0))</f>
        <v/>
      </c>
      <c r="D171" s="519"/>
      <c r="E171" s="519"/>
      <c r="F171" s="519"/>
      <c r="G171" s="519"/>
      <c r="H171" s="519"/>
      <c r="I171" s="519"/>
      <c r="J171" s="519"/>
      <c r="K171" s="519"/>
      <c r="L171" s="519"/>
      <c r="M171" s="519"/>
      <c r="N171" s="519"/>
      <c r="O171" s="519"/>
      <c r="P171" s="519"/>
      <c r="Q171" s="519"/>
      <c r="R171" s="519"/>
      <c r="S171" s="519"/>
      <c r="T171" s="519"/>
      <c r="U171" s="95" t="str">
        <f t="shared" si="8"/>
        <v/>
      </c>
      <c r="V171" s="80" t="str">
        <f>IF($X171&lt;&gt;"",MAX(V$158:V170)+1,"")</f>
        <v/>
      </c>
    </row>
    <row r="172" spans="1:25" ht="12" customHeight="1" x14ac:dyDescent="0.2">
      <c r="A172" s="84">
        <v>5</v>
      </c>
      <c r="B172" s="95" t="str">
        <f>IF(OR(U172=0,U172=""),"",VLOOKUP(COUNTIF($U$168:U172,"・"),名前2!$A$18:$B$44,2,0))</f>
        <v/>
      </c>
      <c r="C172" s="519" t="str">
        <f t="shared" si="9"/>
        <v/>
      </c>
      <c r="D172" s="519"/>
      <c r="E172" s="519"/>
      <c r="F172" s="519"/>
      <c r="G172" s="519"/>
      <c r="H172" s="519"/>
      <c r="I172" s="519"/>
      <c r="J172" s="519"/>
      <c r="K172" s="519"/>
      <c r="L172" s="519"/>
      <c r="M172" s="519"/>
      <c r="N172" s="519"/>
      <c r="O172" s="519"/>
      <c r="P172" s="519"/>
      <c r="Q172" s="519"/>
      <c r="R172" s="519"/>
      <c r="S172" s="519"/>
      <c r="T172" s="519"/>
      <c r="U172" s="95" t="str">
        <f t="shared" si="8"/>
        <v/>
      </c>
      <c r="Y172" s="51"/>
    </row>
    <row r="173" spans="1:25" ht="12" customHeight="1" x14ac:dyDescent="0.2">
      <c r="A173" s="84">
        <v>6</v>
      </c>
      <c r="B173" s="95" t="str">
        <f>IF(OR(U173=0,U173=""),"",VLOOKUP(COUNTIF($U$168:U173,"・"),名前2!$A$18:$B$44,2,0))</f>
        <v/>
      </c>
      <c r="C173" s="519" t="str">
        <f t="shared" si="9"/>
        <v/>
      </c>
      <c r="D173" s="519"/>
      <c r="E173" s="519"/>
      <c r="F173" s="519"/>
      <c r="G173" s="519"/>
      <c r="H173" s="519"/>
      <c r="I173" s="519"/>
      <c r="J173" s="519"/>
      <c r="K173" s="519"/>
      <c r="L173" s="519"/>
      <c r="M173" s="519"/>
      <c r="N173" s="519"/>
      <c r="O173" s="519"/>
      <c r="P173" s="519"/>
      <c r="Q173" s="519"/>
      <c r="R173" s="519"/>
      <c r="S173" s="519"/>
      <c r="T173" s="519"/>
      <c r="U173" s="95" t="str">
        <f t="shared" si="8"/>
        <v/>
      </c>
      <c r="Y173" s="51"/>
    </row>
    <row r="174" spans="1:25" ht="12" customHeight="1" x14ac:dyDescent="0.2">
      <c r="A174" s="84">
        <v>7</v>
      </c>
      <c r="B174" s="95" t="str">
        <f>IF(OR(U174=0,U174=""),"",VLOOKUP(COUNTIF($U$168:U174,"・"),名前2!$A$18:$B$44,2,0))</f>
        <v/>
      </c>
      <c r="C174" s="519" t="str">
        <f t="shared" si="9"/>
        <v/>
      </c>
      <c r="D174" s="519"/>
      <c r="E174" s="519"/>
      <c r="F174" s="519"/>
      <c r="G174" s="519"/>
      <c r="H174" s="519"/>
      <c r="I174" s="519"/>
      <c r="J174" s="519"/>
      <c r="K174" s="519"/>
      <c r="L174" s="519"/>
      <c r="M174" s="519"/>
      <c r="N174" s="519"/>
      <c r="O174" s="519"/>
      <c r="P174" s="519"/>
      <c r="Q174" s="519"/>
      <c r="R174" s="519"/>
      <c r="S174" s="519"/>
      <c r="T174" s="519"/>
      <c r="U174" s="95" t="str">
        <f t="shared" si="8"/>
        <v/>
      </c>
      <c r="Y174" s="76"/>
    </row>
    <row r="175" spans="1:25" ht="12" customHeight="1" x14ac:dyDescent="0.2">
      <c r="A175" s="84">
        <v>8</v>
      </c>
      <c r="B175" s="95" t="str">
        <f>IF(OR(U175=0,U175=""),"",VLOOKUP(COUNTIF($U$168:U175,"・"),名前2!$A$18:$B$44,2,0))</f>
        <v/>
      </c>
      <c r="C175" s="519" t="str">
        <f t="shared" si="9"/>
        <v/>
      </c>
      <c r="D175" s="519"/>
      <c r="E175" s="519"/>
      <c r="F175" s="519"/>
      <c r="G175" s="519"/>
      <c r="H175" s="519"/>
      <c r="I175" s="519"/>
      <c r="J175" s="519"/>
      <c r="K175" s="519"/>
      <c r="L175" s="519"/>
      <c r="M175" s="519"/>
      <c r="N175" s="519"/>
      <c r="O175" s="519"/>
      <c r="P175" s="519"/>
      <c r="Q175" s="519"/>
      <c r="R175" s="519"/>
      <c r="S175" s="519"/>
      <c r="T175" s="519"/>
      <c r="U175" s="95" t="str">
        <f t="shared" si="8"/>
        <v/>
      </c>
    </row>
    <row r="176" spans="1:25" ht="12" customHeight="1" x14ac:dyDescent="0.2">
      <c r="A176" s="84">
        <v>9</v>
      </c>
      <c r="B176" s="95" t="str">
        <f>IF(OR(U176=0,U176=""),"",VLOOKUP(COUNTIF($U$168:U176,"・"),名前2!$A$18:$B$44,2,0))</f>
        <v/>
      </c>
      <c r="C176" s="519" t="str">
        <f t="shared" si="9"/>
        <v/>
      </c>
      <c r="D176" s="519"/>
      <c r="E176" s="519"/>
      <c r="F176" s="519"/>
      <c r="G176" s="519"/>
      <c r="H176" s="519"/>
      <c r="I176" s="519"/>
      <c r="J176" s="519"/>
      <c r="K176" s="519"/>
      <c r="L176" s="519"/>
      <c r="M176" s="519"/>
      <c r="N176" s="519"/>
      <c r="O176" s="519"/>
      <c r="P176" s="519"/>
      <c r="Q176" s="519"/>
      <c r="R176" s="519"/>
      <c r="S176" s="519"/>
      <c r="T176" s="519"/>
      <c r="U176" s="95" t="str">
        <f t="shared" si="8"/>
        <v/>
      </c>
      <c r="Y176" s="51"/>
    </row>
    <row r="177" spans="1:25" ht="12" customHeight="1" x14ac:dyDescent="0.2">
      <c r="A177" s="84">
        <v>10</v>
      </c>
      <c r="B177" s="95" t="str">
        <f>IF(OR(U177=0,U177=""),"",VLOOKUP(COUNTIF($U$168:U177,"・"),名前2!$A$18:$B$44,2,0))</f>
        <v/>
      </c>
      <c r="C177" s="519" t="str">
        <f t="shared" si="9"/>
        <v/>
      </c>
      <c r="D177" s="519"/>
      <c r="E177" s="519"/>
      <c r="F177" s="519"/>
      <c r="G177" s="519"/>
      <c r="H177" s="519"/>
      <c r="I177" s="519"/>
      <c r="J177" s="519"/>
      <c r="K177" s="519"/>
      <c r="L177" s="519"/>
      <c r="M177" s="519"/>
      <c r="N177" s="519"/>
      <c r="O177" s="519"/>
      <c r="P177" s="519"/>
      <c r="Q177" s="519"/>
      <c r="R177" s="519"/>
      <c r="S177" s="519"/>
      <c r="T177" s="519"/>
      <c r="U177" s="95" t="str">
        <f t="shared" si="8"/>
        <v/>
      </c>
      <c r="Y177" s="51"/>
    </row>
    <row r="178" spans="1:25" ht="12" customHeight="1" x14ac:dyDescent="0.2">
      <c r="A178" s="84">
        <v>11</v>
      </c>
      <c r="B178" s="95" t="str">
        <f>IF(OR(U178=0,U178=""),"",VLOOKUP(COUNTIF($U$168:U178,"・"),名前2!$A$18:$B$44,2,0))</f>
        <v/>
      </c>
      <c r="C178" s="519" t="str">
        <f t="shared" si="9"/>
        <v/>
      </c>
      <c r="D178" s="519"/>
      <c r="E178" s="519"/>
      <c r="F178" s="519"/>
      <c r="G178" s="519"/>
      <c r="H178" s="519"/>
      <c r="I178" s="519"/>
      <c r="J178" s="519"/>
      <c r="K178" s="519"/>
      <c r="L178" s="519"/>
      <c r="M178" s="519"/>
      <c r="N178" s="519"/>
      <c r="O178" s="519"/>
      <c r="P178" s="519"/>
      <c r="Q178" s="519"/>
      <c r="R178" s="519"/>
      <c r="S178" s="519"/>
      <c r="T178" s="519"/>
      <c r="U178" s="95" t="str">
        <f t="shared" si="8"/>
        <v/>
      </c>
      <c r="Y178" s="51"/>
    </row>
    <row r="179" spans="1:25" ht="18" customHeight="1" x14ac:dyDescent="0.2">
      <c r="A179" s="84">
        <v>12</v>
      </c>
      <c r="B179" s="95" t="str">
        <f>IF(OR(U179=0,U179=""),"",VLOOKUP(COUNTIF($U$168:U179,"・"),名前2!$A$18:$B$44,2,0))</f>
        <v/>
      </c>
      <c r="C179" s="519" t="str">
        <f t="shared" si="9"/>
        <v/>
      </c>
      <c r="D179" s="519"/>
      <c r="E179" s="519"/>
      <c r="F179" s="519"/>
      <c r="G179" s="519"/>
      <c r="H179" s="519"/>
      <c r="I179" s="519"/>
      <c r="J179" s="519"/>
      <c r="K179" s="519"/>
      <c r="L179" s="519"/>
      <c r="M179" s="519"/>
      <c r="N179" s="519"/>
      <c r="O179" s="519"/>
      <c r="P179" s="519"/>
      <c r="Q179" s="519"/>
      <c r="R179" s="519"/>
      <c r="S179" s="519"/>
      <c r="T179" s="519"/>
      <c r="U179" s="95" t="str">
        <f t="shared" si="8"/>
        <v/>
      </c>
      <c r="Y179" s="51"/>
    </row>
    <row r="180" spans="1:25" ht="18" customHeight="1" x14ac:dyDescent="0.2">
      <c r="A180" s="84"/>
      <c r="B180" s="80" t="str">
        <f t="shared" ref="B180" si="10">IF(ISERROR(VLOOKUP($A180,$V$158:$AL$171,2,0)),"",VLOOKUP($A180,$V$158:$AL$171,2,0))</f>
        <v/>
      </c>
      <c r="C180" s="519"/>
      <c r="D180" s="519"/>
      <c r="E180" s="519"/>
      <c r="F180" s="519"/>
      <c r="G180" s="519"/>
      <c r="H180" s="519"/>
      <c r="I180" s="519"/>
      <c r="J180" s="519"/>
      <c r="K180" s="519"/>
      <c r="L180" s="519"/>
      <c r="M180" s="519"/>
      <c r="N180" s="519"/>
      <c r="O180" s="519"/>
      <c r="P180" s="519"/>
      <c r="Q180" s="519"/>
      <c r="R180" s="519"/>
      <c r="S180" s="519"/>
      <c r="T180" s="519"/>
      <c r="Y180" s="76"/>
    </row>
    <row r="181" spans="1:25" ht="18" customHeight="1" x14ac:dyDescent="0.2">
      <c r="A181" s="84"/>
      <c r="B181" s="80"/>
      <c r="C181" s="519"/>
      <c r="D181" s="519"/>
      <c r="E181" s="519"/>
      <c r="F181" s="519"/>
      <c r="G181" s="519"/>
      <c r="H181" s="519"/>
      <c r="I181" s="519"/>
      <c r="J181" s="519"/>
      <c r="K181" s="519"/>
      <c r="L181" s="519"/>
      <c r="M181" s="519"/>
      <c r="N181" s="519"/>
      <c r="O181" s="519"/>
      <c r="P181" s="519"/>
      <c r="Q181" s="519"/>
      <c r="R181" s="519"/>
      <c r="S181" s="519"/>
      <c r="T181" s="519"/>
    </row>
  </sheetData>
  <sheetProtection algorithmName="SHA-512" hashValue="UsiIAGewuZS9vUYgDVeyZdE9c6GrwXoYPqeNNzgTtkBHUHl3FEy2YBRyusNERYYR4i3iJqlnJWp9Vo31fXiZew==" saltValue="n+Kg6eUXCv65dvOKfb1NmQ==" spinCount="100000" sheet="1" formatColumns="0" formatRows="0"/>
  <mergeCells count="98">
    <mergeCell ref="R41:S41"/>
    <mergeCell ref="R40:S40"/>
    <mergeCell ref="R42:S42"/>
    <mergeCell ref="R43:S43"/>
    <mergeCell ref="C181:T181"/>
    <mergeCell ref="C170:T170"/>
    <mergeCell ref="C171:T171"/>
    <mergeCell ref="C172:T172"/>
    <mergeCell ref="C173:T173"/>
    <mergeCell ref="C174:T174"/>
    <mergeCell ref="C175:T175"/>
    <mergeCell ref="C176:T176"/>
    <mergeCell ref="C177:T177"/>
    <mergeCell ref="C178:T178"/>
    <mergeCell ref="C179:T179"/>
    <mergeCell ref="C180:T180"/>
    <mergeCell ref="C169:T169"/>
    <mergeCell ref="C155:T155"/>
    <mergeCell ref="C156:T156"/>
    <mergeCell ref="C157:T157"/>
    <mergeCell ref="C158:T158"/>
    <mergeCell ref="C159:T159"/>
    <mergeCell ref="C160:T160"/>
    <mergeCell ref="C161:T161"/>
    <mergeCell ref="C162:T162"/>
    <mergeCell ref="C163:T163"/>
    <mergeCell ref="C164:T164"/>
    <mergeCell ref="C168:T168"/>
    <mergeCell ref="C165:T165"/>
    <mergeCell ref="C154:T154"/>
    <mergeCell ref="C142:T142"/>
    <mergeCell ref="C143:T143"/>
    <mergeCell ref="C144:T144"/>
    <mergeCell ref="C145:T145"/>
    <mergeCell ref="C146:T146"/>
    <mergeCell ref="C147:T147"/>
    <mergeCell ref="C148:T148"/>
    <mergeCell ref="C149:T149"/>
    <mergeCell ref="C150:T150"/>
    <mergeCell ref="C152:T152"/>
    <mergeCell ref="C153:T153"/>
    <mergeCell ref="C139:T139"/>
    <mergeCell ref="X138:AL138"/>
    <mergeCell ref="C140:T140"/>
    <mergeCell ref="X139:AL139"/>
    <mergeCell ref="C141:T141"/>
    <mergeCell ref="X140:AL140"/>
    <mergeCell ref="C136:T136"/>
    <mergeCell ref="X135:AL135"/>
    <mergeCell ref="C137:T137"/>
    <mergeCell ref="X136:AL136"/>
    <mergeCell ref="C138:T138"/>
    <mergeCell ref="X137:AL137"/>
    <mergeCell ref="C133:T133"/>
    <mergeCell ref="X132:AL132"/>
    <mergeCell ref="C134:T134"/>
    <mergeCell ref="X133:AL133"/>
    <mergeCell ref="C135:T135"/>
    <mergeCell ref="X134:AL134"/>
    <mergeCell ref="C130:T130"/>
    <mergeCell ref="X128:AL128"/>
    <mergeCell ref="C131:T131"/>
    <mergeCell ref="X129:AL129"/>
    <mergeCell ref="C132:T132"/>
    <mergeCell ref="X131:AL131"/>
    <mergeCell ref="X130:AL130"/>
    <mergeCell ref="C127:T127"/>
    <mergeCell ref="X125:AL125"/>
    <mergeCell ref="C128:T128"/>
    <mergeCell ref="X126:AL126"/>
    <mergeCell ref="C129:T129"/>
    <mergeCell ref="X127:AL127"/>
    <mergeCell ref="C124:T124"/>
    <mergeCell ref="X122:AL122"/>
    <mergeCell ref="C125:T125"/>
    <mergeCell ref="X123:AL123"/>
    <mergeCell ref="C126:T126"/>
    <mergeCell ref="X124:AL124"/>
    <mergeCell ref="R76:S76"/>
    <mergeCell ref="R77:S77"/>
    <mergeCell ref="C122:T122"/>
    <mergeCell ref="X120:AL120"/>
    <mergeCell ref="C123:T123"/>
    <mergeCell ref="X121:AL121"/>
    <mergeCell ref="R75:S75"/>
    <mergeCell ref="R48:S48"/>
    <mergeCell ref="R49:S49"/>
    <mergeCell ref="R50:S50"/>
    <mergeCell ref="R51:S51"/>
    <mergeCell ref="R54:S54"/>
    <mergeCell ref="R55:S55"/>
    <mergeCell ref="R56:S56"/>
    <mergeCell ref="R57:S57"/>
    <mergeCell ref="R70:S70"/>
    <mergeCell ref="R71:S71"/>
    <mergeCell ref="R72:S72"/>
    <mergeCell ref="R69:S69"/>
    <mergeCell ref="R74:S74"/>
  </mergeCells>
  <phoneticPr fontId="1"/>
  <pageMargins left="0.70866141732283472" right="0.70866141732283472" top="0.74803149606299213" bottom="0.74803149606299213" header="0.31496062992125984" footer="0.31496062992125984"/>
  <pageSetup paperSize="9" scale="92" fitToHeight="3" orientation="portrait" r:id="rId1"/>
  <rowBreaks count="2" manualBreakCount="2">
    <brk id="59" max="19" man="1"/>
    <brk id="120"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C46"/>
  <sheetViews>
    <sheetView view="pageBreakPreview" zoomScaleNormal="100" zoomScaleSheetLayoutView="100" workbookViewId="0">
      <selection activeCell="AB26" sqref="AB26"/>
    </sheetView>
  </sheetViews>
  <sheetFormatPr defaultRowHeight="13.2" x14ac:dyDescent="0.2"/>
  <cols>
    <col min="1" max="1" width="4.8867187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5" style="1" customWidth="1"/>
    <col min="16" max="16" width="9" style="1"/>
    <col min="17" max="17" width="7.6640625" style="1" customWidth="1"/>
    <col min="18" max="18" width="3.33203125" style="1" bestFit="1" customWidth="1"/>
    <col min="19" max="19" width="5.6640625" style="1" customWidth="1"/>
    <col min="20" max="27" width="9" style="1"/>
    <col min="28" max="28" width="13.88671875" style="1" bestFit="1" customWidth="1"/>
    <col min="29" max="250" width="9" style="1"/>
    <col min="251" max="251" width="3.33203125" style="1" customWidth="1"/>
    <col min="252" max="252" width="9" style="1"/>
    <col min="253" max="253" width="5.6640625" style="1" customWidth="1"/>
    <col min="254" max="254" width="3.33203125" style="1" customWidth="1"/>
    <col min="255" max="255" width="5.33203125" style="1" customWidth="1"/>
    <col min="256" max="256" width="2.88671875" style="1" customWidth="1"/>
    <col min="257" max="257" width="4.109375" style="1" customWidth="1"/>
    <col min="258" max="259" width="3.33203125" style="1" customWidth="1"/>
    <col min="260" max="260" width="2.6640625" style="1" customWidth="1"/>
    <col min="261" max="261" width="4.109375" style="1" customWidth="1"/>
    <col min="262" max="262" width="3.33203125" style="1" customWidth="1"/>
    <col min="263" max="263" width="4.109375" style="1" customWidth="1"/>
    <col min="264" max="264" width="3.33203125" style="1" customWidth="1"/>
    <col min="265" max="265" width="2" style="1" customWidth="1"/>
    <col min="266" max="266" width="9" style="1"/>
    <col min="267" max="267" width="7.6640625" style="1" customWidth="1"/>
    <col min="268" max="268" width="3.33203125" style="1" bestFit="1" customWidth="1"/>
    <col min="269" max="269" width="5.6640625" style="1" customWidth="1"/>
    <col min="270" max="270" width="9" style="1"/>
    <col min="271" max="271" width="5.33203125" style="1" customWidth="1"/>
    <col min="272" max="506" width="9" style="1"/>
    <col min="507" max="507" width="3.33203125" style="1" customWidth="1"/>
    <col min="508" max="508" width="9" style="1"/>
    <col min="509" max="509" width="5.6640625" style="1" customWidth="1"/>
    <col min="510" max="510" width="3.33203125" style="1" customWidth="1"/>
    <col min="511" max="511" width="5.33203125" style="1" customWidth="1"/>
    <col min="512" max="512" width="2.88671875" style="1" customWidth="1"/>
    <col min="513" max="513" width="4.109375" style="1" customWidth="1"/>
    <col min="514" max="515" width="3.33203125" style="1" customWidth="1"/>
    <col min="516" max="516" width="2.6640625" style="1" customWidth="1"/>
    <col min="517" max="517" width="4.109375" style="1" customWidth="1"/>
    <col min="518" max="518" width="3.33203125" style="1" customWidth="1"/>
    <col min="519" max="519" width="4.109375" style="1" customWidth="1"/>
    <col min="520" max="520" width="3.33203125" style="1" customWidth="1"/>
    <col min="521" max="521" width="2" style="1" customWidth="1"/>
    <col min="522" max="522" width="9" style="1"/>
    <col min="523" max="523" width="7.6640625" style="1" customWidth="1"/>
    <col min="524" max="524" width="3.33203125" style="1" bestFit="1" customWidth="1"/>
    <col min="525" max="525" width="5.6640625" style="1" customWidth="1"/>
    <col min="526" max="526" width="9" style="1"/>
    <col min="527" max="527" width="5.33203125" style="1" customWidth="1"/>
    <col min="528" max="762" width="9" style="1"/>
    <col min="763" max="763" width="3.33203125" style="1" customWidth="1"/>
    <col min="764" max="764" width="9" style="1"/>
    <col min="765" max="765" width="5.6640625" style="1" customWidth="1"/>
    <col min="766" max="766" width="3.33203125" style="1" customWidth="1"/>
    <col min="767" max="767" width="5.33203125" style="1" customWidth="1"/>
    <col min="768" max="768" width="2.88671875" style="1" customWidth="1"/>
    <col min="769" max="769" width="4.109375" style="1" customWidth="1"/>
    <col min="770" max="771" width="3.33203125" style="1" customWidth="1"/>
    <col min="772" max="772" width="2.6640625" style="1" customWidth="1"/>
    <col min="773" max="773" width="4.109375" style="1" customWidth="1"/>
    <col min="774" max="774" width="3.33203125" style="1" customWidth="1"/>
    <col min="775" max="775" width="4.109375" style="1" customWidth="1"/>
    <col min="776" max="776" width="3.33203125" style="1" customWidth="1"/>
    <col min="777" max="777" width="2" style="1" customWidth="1"/>
    <col min="778" max="778" width="9" style="1"/>
    <col min="779" max="779" width="7.6640625" style="1" customWidth="1"/>
    <col min="780" max="780" width="3.33203125" style="1" bestFit="1" customWidth="1"/>
    <col min="781" max="781" width="5.6640625" style="1" customWidth="1"/>
    <col min="782" max="782" width="9" style="1"/>
    <col min="783" max="783" width="5.33203125" style="1" customWidth="1"/>
    <col min="784" max="1018" width="9" style="1"/>
    <col min="1019" max="1019" width="3.33203125" style="1" customWidth="1"/>
    <col min="1020" max="1020" width="9" style="1"/>
    <col min="1021" max="1021" width="5.6640625" style="1" customWidth="1"/>
    <col min="1022" max="1022" width="3.33203125" style="1" customWidth="1"/>
    <col min="1023" max="1023" width="5.33203125" style="1" customWidth="1"/>
    <col min="1024" max="1024" width="2.88671875" style="1" customWidth="1"/>
    <col min="1025" max="1025" width="4.109375" style="1" customWidth="1"/>
    <col min="1026" max="1027" width="3.33203125" style="1" customWidth="1"/>
    <col min="1028" max="1028" width="2.6640625" style="1" customWidth="1"/>
    <col min="1029" max="1029" width="4.109375" style="1" customWidth="1"/>
    <col min="1030" max="1030" width="3.33203125" style="1" customWidth="1"/>
    <col min="1031" max="1031" width="4.109375" style="1" customWidth="1"/>
    <col min="1032" max="1032" width="3.33203125" style="1" customWidth="1"/>
    <col min="1033" max="1033" width="2" style="1" customWidth="1"/>
    <col min="1034" max="1034" width="9" style="1"/>
    <col min="1035" max="1035" width="7.6640625" style="1" customWidth="1"/>
    <col min="1036" max="1036" width="3.33203125" style="1" bestFit="1" customWidth="1"/>
    <col min="1037" max="1037" width="5.6640625" style="1" customWidth="1"/>
    <col min="1038" max="1038" width="9" style="1"/>
    <col min="1039" max="1039" width="5.33203125" style="1" customWidth="1"/>
    <col min="1040" max="1274" width="9" style="1"/>
    <col min="1275" max="1275" width="3.33203125" style="1" customWidth="1"/>
    <col min="1276" max="1276" width="9" style="1"/>
    <col min="1277" max="1277" width="5.6640625" style="1" customWidth="1"/>
    <col min="1278" max="1278" width="3.33203125" style="1" customWidth="1"/>
    <col min="1279" max="1279" width="5.33203125" style="1" customWidth="1"/>
    <col min="1280" max="1280" width="2.88671875" style="1" customWidth="1"/>
    <col min="1281" max="1281" width="4.109375" style="1" customWidth="1"/>
    <col min="1282" max="1283" width="3.33203125" style="1" customWidth="1"/>
    <col min="1284" max="1284" width="2.6640625" style="1" customWidth="1"/>
    <col min="1285" max="1285" width="4.109375" style="1" customWidth="1"/>
    <col min="1286" max="1286" width="3.33203125" style="1" customWidth="1"/>
    <col min="1287" max="1287" width="4.109375" style="1" customWidth="1"/>
    <col min="1288" max="1288" width="3.33203125" style="1" customWidth="1"/>
    <col min="1289" max="1289" width="2" style="1" customWidth="1"/>
    <col min="1290" max="1290" width="9" style="1"/>
    <col min="1291" max="1291" width="7.6640625" style="1" customWidth="1"/>
    <col min="1292" max="1292" width="3.33203125" style="1" bestFit="1" customWidth="1"/>
    <col min="1293" max="1293" width="5.6640625" style="1" customWidth="1"/>
    <col min="1294" max="1294" width="9" style="1"/>
    <col min="1295" max="1295" width="5.33203125" style="1" customWidth="1"/>
    <col min="1296" max="1530" width="9" style="1"/>
    <col min="1531" max="1531" width="3.33203125" style="1" customWidth="1"/>
    <col min="1532" max="1532" width="9" style="1"/>
    <col min="1533" max="1533" width="5.6640625" style="1" customWidth="1"/>
    <col min="1534" max="1534" width="3.33203125" style="1" customWidth="1"/>
    <col min="1535" max="1535" width="5.33203125" style="1" customWidth="1"/>
    <col min="1536" max="1536" width="2.88671875" style="1" customWidth="1"/>
    <col min="1537" max="1537" width="4.109375" style="1" customWidth="1"/>
    <col min="1538" max="1539" width="3.33203125" style="1" customWidth="1"/>
    <col min="1540" max="1540" width="2.6640625" style="1" customWidth="1"/>
    <col min="1541" max="1541" width="4.109375" style="1" customWidth="1"/>
    <col min="1542" max="1542" width="3.33203125" style="1" customWidth="1"/>
    <col min="1543" max="1543" width="4.109375" style="1" customWidth="1"/>
    <col min="1544" max="1544" width="3.33203125" style="1" customWidth="1"/>
    <col min="1545" max="1545" width="2" style="1" customWidth="1"/>
    <col min="1546" max="1546" width="9" style="1"/>
    <col min="1547" max="1547" width="7.6640625" style="1" customWidth="1"/>
    <col min="1548" max="1548" width="3.33203125" style="1" bestFit="1" customWidth="1"/>
    <col min="1549" max="1549" width="5.6640625" style="1" customWidth="1"/>
    <col min="1550" max="1550" width="9" style="1"/>
    <col min="1551" max="1551" width="5.33203125" style="1" customWidth="1"/>
    <col min="1552" max="1786" width="9" style="1"/>
    <col min="1787" max="1787" width="3.33203125" style="1" customWidth="1"/>
    <col min="1788" max="1788" width="9" style="1"/>
    <col min="1789" max="1789" width="5.6640625" style="1" customWidth="1"/>
    <col min="1790" max="1790" width="3.33203125" style="1" customWidth="1"/>
    <col min="1791" max="1791" width="5.33203125" style="1" customWidth="1"/>
    <col min="1792" max="1792" width="2.88671875" style="1" customWidth="1"/>
    <col min="1793" max="1793" width="4.109375" style="1" customWidth="1"/>
    <col min="1794" max="1795" width="3.33203125" style="1" customWidth="1"/>
    <col min="1796" max="1796" width="2.6640625" style="1" customWidth="1"/>
    <col min="1797" max="1797" width="4.109375" style="1" customWidth="1"/>
    <col min="1798" max="1798" width="3.33203125" style="1" customWidth="1"/>
    <col min="1799" max="1799" width="4.109375" style="1" customWidth="1"/>
    <col min="1800" max="1800" width="3.33203125" style="1" customWidth="1"/>
    <col min="1801" max="1801" width="2" style="1" customWidth="1"/>
    <col min="1802" max="1802" width="9" style="1"/>
    <col min="1803" max="1803" width="7.6640625" style="1" customWidth="1"/>
    <col min="1804" max="1804" width="3.33203125" style="1" bestFit="1" customWidth="1"/>
    <col min="1805" max="1805" width="5.6640625" style="1" customWidth="1"/>
    <col min="1806" max="1806" width="9" style="1"/>
    <col min="1807" max="1807" width="5.33203125" style="1" customWidth="1"/>
    <col min="1808" max="2042" width="9" style="1"/>
    <col min="2043" max="2043" width="3.33203125" style="1" customWidth="1"/>
    <col min="2044" max="2044" width="9" style="1"/>
    <col min="2045" max="2045" width="5.6640625" style="1" customWidth="1"/>
    <col min="2046" max="2046" width="3.33203125" style="1" customWidth="1"/>
    <col min="2047" max="2047" width="5.33203125" style="1" customWidth="1"/>
    <col min="2048" max="2048" width="2.88671875" style="1" customWidth="1"/>
    <col min="2049" max="2049" width="4.109375" style="1" customWidth="1"/>
    <col min="2050" max="2051" width="3.33203125" style="1" customWidth="1"/>
    <col min="2052" max="2052" width="2.6640625" style="1" customWidth="1"/>
    <col min="2053" max="2053" width="4.109375" style="1" customWidth="1"/>
    <col min="2054" max="2054" width="3.33203125" style="1" customWidth="1"/>
    <col min="2055" max="2055" width="4.109375" style="1" customWidth="1"/>
    <col min="2056" max="2056" width="3.33203125" style="1" customWidth="1"/>
    <col min="2057" max="2057" width="2" style="1" customWidth="1"/>
    <col min="2058" max="2058" width="9" style="1"/>
    <col min="2059" max="2059" width="7.6640625" style="1" customWidth="1"/>
    <col min="2060" max="2060" width="3.33203125" style="1" bestFit="1" customWidth="1"/>
    <col min="2061" max="2061" width="5.6640625" style="1" customWidth="1"/>
    <col min="2062" max="2062" width="9" style="1"/>
    <col min="2063" max="2063" width="5.33203125" style="1" customWidth="1"/>
    <col min="2064" max="2298" width="9" style="1"/>
    <col min="2299" max="2299" width="3.33203125" style="1" customWidth="1"/>
    <col min="2300" max="2300" width="9" style="1"/>
    <col min="2301" max="2301" width="5.6640625" style="1" customWidth="1"/>
    <col min="2302" max="2302" width="3.33203125" style="1" customWidth="1"/>
    <col min="2303" max="2303" width="5.33203125" style="1" customWidth="1"/>
    <col min="2304" max="2304" width="2.88671875" style="1" customWidth="1"/>
    <col min="2305" max="2305" width="4.109375" style="1" customWidth="1"/>
    <col min="2306" max="2307" width="3.33203125" style="1" customWidth="1"/>
    <col min="2308" max="2308" width="2.6640625" style="1" customWidth="1"/>
    <col min="2309" max="2309" width="4.109375" style="1" customWidth="1"/>
    <col min="2310" max="2310" width="3.33203125" style="1" customWidth="1"/>
    <col min="2311" max="2311" width="4.109375" style="1" customWidth="1"/>
    <col min="2312" max="2312" width="3.33203125" style="1" customWidth="1"/>
    <col min="2313" max="2313" width="2" style="1" customWidth="1"/>
    <col min="2314" max="2314" width="9" style="1"/>
    <col min="2315" max="2315" width="7.6640625" style="1" customWidth="1"/>
    <col min="2316" max="2316" width="3.33203125" style="1" bestFit="1" customWidth="1"/>
    <col min="2317" max="2317" width="5.6640625" style="1" customWidth="1"/>
    <col min="2318" max="2318" width="9" style="1"/>
    <col min="2319" max="2319" width="5.33203125" style="1" customWidth="1"/>
    <col min="2320" max="2554" width="9" style="1"/>
    <col min="2555" max="2555" width="3.33203125" style="1" customWidth="1"/>
    <col min="2556" max="2556" width="9" style="1"/>
    <col min="2557" max="2557" width="5.6640625" style="1" customWidth="1"/>
    <col min="2558" max="2558" width="3.33203125" style="1" customWidth="1"/>
    <col min="2559" max="2559" width="5.33203125" style="1" customWidth="1"/>
    <col min="2560" max="2560" width="2.88671875" style="1" customWidth="1"/>
    <col min="2561" max="2561" width="4.109375" style="1" customWidth="1"/>
    <col min="2562" max="2563" width="3.33203125" style="1" customWidth="1"/>
    <col min="2564" max="2564" width="2.6640625" style="1" customWidth="1"/>
    <col min="2565" max="2565" width="4.109375" style="1" customWidth="1"/>
    <col min="2566" max="2566" width="3.33203125" style="1" customWidth="1"/>
    <col min="2567" max="2567" width="4.109375" style="1" customWidth="1"/>
    <col min="2568" max="2568" width="3.33203125" style="1" customWidth="1"/>
    <col min="2569" max="2569" width="2" style="1" customWidth="1"/>
    <col min="2570" max="2570" width="9" style="1"/>
    <col min="2571" max="2571" width="7.6640625" style="1" customWidth="1"/>
    <col min="2572" max="2572" width="3.33203125" style="1" bestFit="1" customWidth="1"/>
    <col min="2573" max="2573" width="5.6640625" style="1" customWidth="1"/>
    <col min="2574" max="2574" width="9" style="1"/>
    <col min="2575" max="2575" width="5.33203125" style="1" customWidth="1"/>
    <col min="2576" max="2810" width="9" style="1"/>
    <col min="2811" max="2811" width="3.33203125" style="1" customWidth="1"/>
    <col min="2812" max="2812" width="9" style="1"/>
    <col min="2813" max="2813" width="5.6640625" style="1" customWidth="1"/>
    <col min="2814" max="2814" width="3.33203125" style="1" customWidth="1"/>
    <col min="2815" max="2815" width="5.33203125" style="1" customWidth="1"/>
    <col min="2816" max="2816" width="2.88671875" style="1" customWidth="1"/>
    <col min="2817" max="2817" width="4.109375" style="1" customWidth="1"/>
    <col min="2818" max="2819" width="3.33203125" style="1" customWidth="1"/>
    <col min="2820" max="2820" width="2.6640625" style="1" customWidth="1"/>
    <col min="2821" max="2821" width="4.109375" style="1" customWidth="1"/>
    <col min="2822" max="2822" width="3.33203125" style="1" customWidth="1"/>
    <col min="2823" max="2823" width="4.109375" style="1" customWidth="1"/>
    <col min="2824" max="2824" width="3.33203125" style="1" customWidth="1"/>
    <col min="2825" max="2825" width="2" style="1" customWidth="1"/>
    <col min="2826" max="2826" width="9" style="1"/>
    <col min="2827" max="2827" width="7.6640625" style="1" customWidth="1"/>
    <col min="2828" max="2828" width="3.33203125" style="1" bestFit="1" customWidth="1"/>
    <col min="2829" max="2829" width="5.6640625" style="1" customWidth="1"/>
    <col min="2830" max="2830" width="9" style="1"/>
    <col min="2831" max="2831" width="5.33203125" style="1" customWidth="1"/>
    <col min="2832" max="3066" width="9" style="1"/>
    <col min="3067" max="3067" width="3.33203125" style="1" customWidth="1"/>
    <col min="3068" max="3068" width="9" style="1"/>
    <col min="3069" max="3069" width="5.6640625" style="1" customWidth="1"/>
    <col min="3070" max="3070" width="3.33203125" style="1" customWidth="1"/>
    <col min="3071" max="3071" width="5.33203125" style="1" customWidth="1"/>
    <col min="3072" max="3072" width="2.88671875" style="1" customWidth="1"/>
    <col min="3073" max="3073" width="4.109375" style="1" customWidth="1"/>
    <col min="3074" max="3075" width="3.33203125" style="1" customWidth="1"/>
    <col min="3076" max="3076" width="2.6640625" style="1" customWidth="1"/>
    <col min="3077" max="3077" width="4.109375" style="1" customWidth="1"/>
    <col min="3078" max="3078" width="3.33203125" style="1" customWidth="1"/>
    <col min="3079" max="3079" width="4.109375" style="1" customWidth="1"/>
    <col min="3080" max="3080" width="3.33203125" style="1" customWidth="1"/>
    <col min="3081" max="3081" width="2" style="1" customWidth="1"/>
    <col min="3082" max="3082" width="9" style="1"/>
    <col min="3083" max="3083" width="7.6640625" style="1" customWidth="1"/>
    <col min="3084" max="3084" width="3.33203125" style="1" bestFit="1" customWidth="1"/>
    <col min="3085" max="3085" width="5.6640625" style="1" customWidth="1"/>
    <col min="3086" max="3086" width="9" style="1"/>
    <col min="3087" max="3087" width="5.33203125" style="1" customWidth="1"/>
    <col min="3088" max="3322" width="9" style="1"/>
    <col min="3323" max="3323" width="3.33203125" style="1" customWidth="1"/>
    <col min="3324" max="3324" width="9" style="1"/>
    <col min="3325" max="3325" width="5.6640625" style="1" customWidth="1"/>
    <col min="3326" max="3326" width="3.33203125" style="1" customWidth="1"/>
    <col min="3327" max="3327" width="5.33203125" style="1" customWidth="1"/>
    <col min="3328" max="3328" width="2.88671875" style="1" customWidth="1"/>
    <col min="3329" max="3329" width="4.109375" style="1" customWidth="1"/>
    <col min="3330" max="3331" width="3.33203125" style="1" customWidth="1"/>
    <col min="3332" max="3332" width="2.6640625" style="1" customWidth="1"/>
    <col min="3333" max="3333" width="4.109375" style="1" customWidth="1"/>
    <col min="3334" max="3334" width="3.33203125" style="1" customWidth="1"/>
    <col min="3335" max="3335" width="4.109375" style="1" customWidth="1"/>
    <col min="3336" max="3336" width="3.33203125" style="1" customWidth="1"/>
    <col min="3337" max="3337" width="2" style="1" customWidth="1"/>
    <col min="3338" max="3338" width="9" style="1"/>
    <col min="3339" max="3339" width="7.6640625" style="1" customWidth="1"/>
    <col min="3340" max="3340" width="3.33203125" style="1" bestFit="1" customWidth="1"/>
    <col min="3341" max="3341" width="5.6640625" style="1" customWidth="1"/>
    <col min="3342" max="3342" width="9" style="1"/>
    <col min="3343" max="3343" width="5.33203125" style="1" customWidth="1"/>
    <col min="3344" max="3578" width="9" style="1"/>
    <col min="3579" max="3579" width="3.33203125" style="1" customWidth="1"/>
    <col min="3580" max="3580" width="9" style="1"/>
    <col min="3581" max="3581" width="5.6640625" style="1" customWidth="1"/>
    <col min="3582" max="3582" width="3.33203125" style="1" customWidth="1"/>
    <col min="3583" max="3583" width="5.33203125" style="1" customWidth="1"/>
    <col min="3584" max="3584" width="2.88671875" style="1" customWidth="1"/>
    <col min="3585" max="3585" width="4.109375" style="1" customWidth="1"/>
    <col min="3586" max="3587" width="3.33203125" style="1" customWidth="1"/>
    <col min="3588" max="3588" width="2.6640625" style="1" customWidth="1"/>
    <col min="3589" max="3589" width="4.109375" style="1" customWidth="1"/>
    <col min="3590" max="3590" width="3.33203125" style="1" customWidth="1"/>
    <col min="3591" max="3591" width="4.109375" style="1" customWidth="1"/>
    <col min="3592" max="3592" width="3.33203125" style="1" customWidth="1"/>
    <col min="3593" max="3593" width="2" style="1" customWidth="1"/>
    <col min="3594" max="3594" width="9" style="1"/>
    <col min="3595" max="3595" width="7.6640625" style="1" customWidth="1"/>
    <col min="3596" max="3596" width="3.33203125" style="1" bestFit="1" customWidth="1"/>
    <col min="3597" max="3597" width="5.6640625" style="1" customWidth="1"/>
    <col min="3598" max="3598" width="9" style="1"/>
    <col min="3599" max="3599" width="5.33203125" style="1" customWidth="1"/>
    <col min="3600" max="3834" width="9" style="1"/>
    <col min="3835" max="3835" width="3.33203125" style="1" customWidth="1"/>
    <col min="3836" max="3836" width="9" style="1"/>
    <col min="3837" max="3837" width="5.6640625" style="1" customWidth="1"/>
    <col min="3838" max="3838" width="3.33203125" style="1" customWidth="1"/>
    <col min="3839" max="3839" width="5.33203125" style="1" customWidth="1"/>
    <col min="3840" max="3840" width="2.88671875" style="1" customWidth="1"/>
    <col min="3841" max="3841" width="4.109375" style="1" customWidth="1"/>
    <col min="3842" max="3843" width="3.33203125" style="1" customWidth="1"/>
    <col min="3844" max="3844" width="2.6640625" style="1" customWidth="1"/>
    <col min="3845" max="3845" width="4.109375" style="1" customWidth="1"/>
    <col min="3846" max="3846" width="3.33203125" style="1" customWidth="1"/>
    <col min="3847" max="3847" width="4.109375" style="1" customWidth="1"/>
    <col min="3848" max="3848" width="3.33203125" style="1" customWidth="1"/>
    <col min="3849" max="3849" width="2" style="1" customWidth="1"/>
    <col min="3850" max="3850" width="9" style="1"/>
    <col min="3851" max="3851" width="7.6640625" style="1" customWidth="1"/>
    <col min="3852" max="3852" width="3.33203125" style="1" bestFit="1" customWidth="1"/>
    <col min="3853" max="3853" width="5.6640625" style="1" customWidth="1"/>
    <col min="3854" max="3854" width="9" style="1"/>
    <col min="3855" max="3855" width="5.33203125" style="1" customWidth="1"/>
    <col min="3856" max="4090" width="9" style="1"/>
    <col min="4091" max="4091" width="3.33203125" style="1" customWidth="1"/>
    <col min="4092" max="4092" width="9" style="1"/>
    <col min="4093" max="4093" width="5.6640625" style="1" customWidth="1"/>
    <col min="4094" max="4094" width="3.33203125" style="1" customWidth="1"/>
    <col min="4095" max="4095" width="5.33203125" style="1" customWidth="1"/>
    <col min="4096" max="4096" width="2.88671875" style="1" customWidth="1"/>
    <col min="4097" max="4097" width="4.109375" style="1" customWidth="1"/>
    <col min="4098" max="4099" width="3.33203125" style="1" customWidth="1"/>
    <col min="4100" max="4100" width="2.6640625" style="1" customWidth="1"/>
    <col min="4101" max="4101" width="4.109375" style="1" customWidth="1"/>
    <col min="4102" max="4102" width="3.33203125" style="1" customWidth="1"/>
    <col min="4103" max="4103" width="4.109375" style="1" customWidth="1"/>
    <col min="4104" max="4104" width="3.33203125" style="1" customWidth="1"/>
    <col min="4105" max="4105" width="2" style="1" customWidth="1"/>
    <col min="4106" max="4106" width="9" style="1"/>
    <col min="4107" max="4107" width="7.6640625" style="1" customWidth="1"/>
    <col min="4108" max="4108" width="3.33203125" style="1" bestFit="1" customWidth="1"/>
    <col min="4109" max="4109" width="5.6640625" style="1" customWidth="1"/>
    <col min="4110" max="4110" width="9" style="1"/>
    <col min="4111" max="4111" width="5.33203125" style="1" customWidth="1"/>
    <col min="4112" max="4346" width="9" style="1"/>
    <col min="4347" max="4347" width="3.33203125" style="1" customWidth="1"/>
    <col min="4348" max="4348" width="9" style="1"/>
    <col min="4349" max="4349" width="5.6640625" style="1" customWidth="1"/>
    <col min="4350" max="4350" width="3.33203125" style="1" customWidth="1"/>
    <col min="4351" max="4351" width="5.33203125" style="1" customWidth="1"/>
    <col min="4352" max="4352" width="2.88671875" style="1" customWidth="1"/>
    <col min="4353" max="4353" width="4.109375" style="1" customWidth="1"/>
    <col min="4354" max="4355" width="3.33203125" style="1" customWidth="1"/>
    <col min="4356" max="4356" width="2.6640625" style="1" customWidth="1"/>
    <col min="4357" max="4357" width="4.109375" style="1" customWidth="1"/>
    <col min="4358" max="4358" width="3.33203125" style="1" customWidth="1"/>
    <col min="4359" max="4359" width="4.109375" style="1" customWidth="1"/>
    <col min="4360" max="4360" width="3.33203125" style="1" customWidth="1"/>
    <col min="4361" max="4361" width="2" style="1" customWidth="1"/>
    <col min="4362" max="4362" width="9" style="1"/>
    <col min="4363" max="4363" width="7.6640625" style="1" customWidth="1"/>
    <col min="4364" max="4364" width="3.33203125" style="1" bestFit="1" customWidth="1"/>
    <col min="4365" max="4365" width="5.6640625" style="1" customWidth="1"/>
    <col min="4366" max="4366" width="9" style="1"/>
    <col min="4367" max="4367" width="5.33203125" style="1" customWidth="1"/>
    <col min="4368" max="4602" width="9" style="1"/>
    <col min="4603" max="4603" width="3.33203125" style="1" customWidth="1"/>
    <col min="4604" max="4604" width="9" style="1"/>
    <col min="4605" max="4605" width="5.6640625" style="1" customWidth="1"/>
    <col min="4606" max="4606" width="3.33203125" style="1" customWidth="1"/>
    <col min="4607" max="4607" width="5.33203125" style="1" customWidth="1"/>
    <col min="4608" max="4608" width="2.88671875" style="1" customWidth="1"/>
    <col min="4609" max="4609" width="4.109375" style="1" customWidth="1"/>
    <col min="4610" max="4611" width="3.33203125" style="1" customWidth="1"/>
    <col min="4612" max="4612" width="2.6640625" style="1" customWidth="1"/>
    <col min="4613" max="4613" width="4.109375" style="1" customWidth="1"/>
    <col min="4614" max="4614" width="3.33203125" style="1" customWidth="1"/>
    <col min="4615" max="4615" width="4.109375" style="1" customWidth="1"/>
    <col min="4616" max="4616" width="3.33203125" style="1" customWidth="1"/>
    <col min="4617" max="4617" width="2" style="1" customWidth="1"/>
    <col min="4618" max="4618" width="9" style="1"/>
    <col min="4619" max="4619" width="7.6640625" style="1" customWidth="1"/>
    <col min="4620" max="4620" width="3.33203125" style="1" bestFit="1" customWidth="1"/>
    <col min="4621" max="4621" width="5.6640625" style="1" customWidth="1"/>
    <col min="4622" max="4622" width="9" style="1"/>
    <col min="4623" max="4623" width="5.33203125" style="1" customWidth="1"/>
    <col min="4624" max="4858" width="9" style="1"/>
    <col min="4859" max="4859" width="3.33203125" style="1" customWidth="1"/>
    <col min="4860" max="4860" width="9" style="1"/>
    <col min="4861" max="4861" width="5.6640625" style="1" customWidth="1"/>
    <col min="4862" max="4862" width="3.33203125" style="1" customWidth="1"/>
    <col min="4863" max="4863" width="5.33203125" style="1" customWidth="1"/>
    <col min="4864" max="4864" width="2.88671875" style="1" customWidth="1"/>
    <col min="4865" max="4865" width="4.109375" style="1" customWidth="1"/>
    <col min="4866" max="4867" width="3.33203125" style="1" customWidth="1"/>
    <col min="4868" max="4868" width="2.6640625" style="1" customWidth="1"/>
    <col min="4869" max="4869" width="4.109375" style="1" customWidth="1"/>
    <col min="4870" max="4870" width="3.33203125" style="1" customWidth="1"/>
    <col min="4871" max="4871" width="4.109375" style="1" customWidth="1"/>
    <col min="4872" max="4872" width="3.33203125" style="1" customWidth="1"/>
    <col min="4873" max="4873" width="2" style="1" customWidth="1"/>
    <col min="4874" max="4874" width="9" style="1"/>
    <col min="4875" max="4875" width="7.6640625" style="1" customWidth="1"/>
    <col min="4876" max="4876" width="3.33203125" style="1" bestFit="1" customWidth="1"/>
    <col min="4877" max="4877" width="5.6640625" style="1" customWidth="1"/>
    <col min="4878" max="4878" width="9" style="1"/>
    <col min="4879" max="4879" width="5.33203125" style="1" customWidth="1"/>
    <col min="4880" max="5114" width="9" style="1"/>
    <col min="5115" max="5115" width="3.33203125" style="1" customWidth="1"/>
    <col min="5116" max="5116" width="9" style="1"/>
    <col min="5117" max="5117" width="5.6640625" style="1" customWidth="1"/>
    <col min="5118" max="5118" width="3.33203125" style="1" customWidth="1"/>
    <col min="5119" max="5119" width="5.33203125" style="1" customWidth="1"/>
    <col min="5120" max="5120" width="2.88671875" style="1" customWidth="1"/>
    <col min="5121" max="5121" width="4.109375" style="1" customWidth="1"/>
    <col min="5122" max="5123" width="3.33203125" style="1" customWidth="1"/>
    <col min="5124" max="5124" width="2.6640625" style="1" customWidth="1"/>
    <col min="5125" max="5125" width="4.109375" style="1" customWidth="1"/>
    <col min="5126" max="5126" width="3.33203125" style="1" customWidth="1"/>
    <col min="5127" max="5127" width="4.109375" style="1" customWidth="1"/>
    <col min="5128" max="5128" width="3.33203125" style="1" customWidth="1"/>
    <col min="5129" max="5129" width="2" style="1" customWidth="1"/>
    <col min="5130" max="5130" width="9" style="1"/>
    <col min="5131" max="5131" width="7.6640625" style="1" customWidth="1"/>
    <col min="5132" max="5132" width="3.33203125" style="1" bestFit="1" customWidth="1"/>
    <col min="5133" max="5133" width="5.6640625" style="1" customWidth="1"/>
    <col min="5134" max="5134" width="9" style="1"/>
    <col min="5135" max="5135" width="5.33203125" style="1" customWidth="1"/>
    <col min="5136" max="5370" width="9" style="1"/>
    <col min="5371" max="5371" width="3.33203125" style="1" customWidth="1"/>
    <col min="5372" max="5372" width="9" style="1"/>
    <col min="5373" max="5373" width="5.6640625" style="1" customWidth="1"/>
    <col min="5374" max="5374" width="3.33203125" style="1" customWidth="1"/>
    <col min="5375" max="5375" width="5.33203125" style="1" customWidth="1"/>
    <col min="5376" max="5376" width="2.88671875" style="1" customWidth="1"/>
    <col min="5377" max="5377" width="4.109375" style="1" customWidth="1"/>
    <col min="5378" max="5379" width="3.33203125" style="1" customWidth="1"/>
    <col min="5380" max="5380" width="2.6640625" style="1" customWidth="1"/>
    <col min="5381" max="5381" width="4.109375" style="1" customWidth="1"/>
    <col min="5382" max="5382" width="3.33203125" style="1" customWidth="1"/>
    <col min="5383" max="5383" width="4.109375" style="1" customWidth="1"/>
    <col min="5384" max="5384" width="3.33203125" style="1" customWidth="1"/>
    <col min="5385" max="5385" width="2" style="1" customWidth="1"/>
    <col min="5386" max="5386" width="9" style="1"/>
    <col min="5387" max="5387" width="7.6640625" style="1" customWidth="1"/>
    <col min="5388" max="5388" width="3.33203125" style="1" bestFit="1" customWidth="1"/>
    <col min="5389" max="5389" width="5.6640625" style="1" customWidth="1"/>
    <col min="5390" max="5390" width="9" style="1"/>
    <col min="5391" max="5391" width="5.33203125" style="1" customWidth="1"/>
    <col min="5392" max="5626" width="9" style="1"/>
    <col min="5627" max="5627" width="3.33203125" style="1" customWidth="1"/>
    <col min="5628" max="5628" width="9" style="1"/>
    <col min="5629" max="5629" width="5.6640625" style="1" customWidth="1"/>
    <col min="5630" max="5630" width="3.33203125" style="1" customWidth="1"/>
    <col min="5631" max="5631" width="5.33203125" style="1" customWidth="1"/>
    <col min="5632" max="5632" width="2.88671875" style="1" customWidth="1"/>
    <col min="5633" max="5633" width="4.109375" style="1" customWidth="1"/>
    <col min="5634" max="5635" width="3.33203125" style="1" customWidth="1"/>
    <col min="5636" max="5636" width="2.6640625" style="1" customWidth="1"/>
    <col min="5637" max="5637" width="4.109375" style="1" customWidth="1"/>
    <col min="5638" max="5638" width="3.33203125" style="1" customWidth="1"/>
    <col min="5639" max="5639" width="4.109375" style="1" customWidth="1"/>
    <col min="5640" max="5640" width="3.33203125" style="1" customWidth="1"/>
    <col min="5641" max="5641" width="2" style="1" customWidth="1"/>
    <col min="5642" max="5642" width="9" style="1"/>
    <col min="5643" max="5643" width="7.6640625" style="1" customWidth="1"/>
    <col min="5644" max="5644" width="3.33203125" style="1" bestFit="1" customWidth="1"/>
    <col min="5645" max="5645" width="5.6640625" style="1" customWidth="1"/>
    <col min="5646" max="5646" width="9" style="1"/>
    <col min="5647" max="5647" width="5.33203125" style="1" customWidth="1"/>
    <col min="5648" max="5882" width="9" style="1"/>
    <col min="5883" max="5883" width="3.33203125" style="1" customWidth="1"/>
    <col min="5884" max="5884" width="9" style="1"/>
    <col min="5885" max="5885" width="5.6640625" style="1" customWidth="1"/>
    <col min="5886" max="5886" width="3.33203125" style="1" customWidth="1"/>
    <col min="5887" max="5887" width="5.33203125" style="1" customWidth="1"/>
    <col min="5888" max="5888" width="2.88671875" style="1" customWidth="1"/>
    <col min="5889" max="5889" width="4.109375" style="1" customWidth="1"/>
    <col min="5890" max="5891" width="3.33203125" style="1" customWidth="1"/>
    <col min="5892" max="5892" width="2.6640625" style="1" customWidth="1"/>
    <col min="5893" max="5893" width="4.109375" style="1" customWidth="1"/>
    <col min="5894" max="5894" width="3.33203125" style="1" customWidth="1"/>
    <col min="5895" max="5895" width="4.109375" style="1" customWidth="1"/>
    <col min="5896" max="5896" width="3.33203125" style="1" customWidth="1"/>
    <col min="5897" max="5897" width="2" style="1" customWidth="1"/>
    <col min="5898" max="5898" width="9" style="1"/>
    <col min="5899" max="5899" width="7.6640625" style="1" customWidth="1"/>
    <col min="5900" max="5900" width="3.33203125" style="1" bestFit="1" customWidth="1"/>
    <col min="5901" max="5901" width="5.6640625" style="1" customWidth="1"/>
    <col min="5902" max="5902" width="9" style="1"/>
    <col min="5903" max="5903" width="5.33203125" style="1" customWidth="1"/>
    <col min="5904" max="6138" width="9" style="1"/>
    <col min="6139" max="6139" width="3.33203125" style="1" customWidth="1"/>
    <col min="6140" max="6140" width="9" style="1"/>
    <col min="6141" max="6141" width="5.6640625" style="1" customWidth="1"/>
    <col min="6142" max="6142" width="3.33203125" style="1" customWidth="1"/>
    <col min="6143" max="6143" width="5.33203125" style="1" customWidth="1"/>
    <col min="6144" max="6144" width="2.88671875" style="1" customWidth="1"/>
    <col min="6145" max="6145" width="4.109375" style="1" customWidth="1"/>
    <col min="6146" max="6147" width="3.33203125" style="1" customWidth="1"/>
    <col min="6148" max="6148" width="2.6640625" style="1" customWidth="1"/>
    <col min="6149" max="6149" width="4.109375" style="1" customWidth="1"/>
    <col min="6150" max="6150" width="3.33203125" style="1" customWidth="1"/>
    <col min="6151" max="6151" width="4.109375" style="1" customWidth="1"/>
    <col min="6152" max="6152" width="3.33203125" style="1" customWidth="1"/>
    <col min="6153" max="6153" width="2" style="1" customWidth="1"/>
    <col min="6154" max="6154" width="9" style="1"/>
    <col min="6155" max="6155" width="7.6640625" style="1" customWidth="1"/>
    <col min="6156" max="6156" width="3.33203125" style="1" bestFit="1" customWidth="1"/>
    <col min="6157" max="6157" width="5.6640625" style="1" customWidth="1"/>
    <col min="6158" max="6158" width="9" style="1"/>
    <col min="6159" max="6159" width="5.33203125" style="1" customWidth="1"/>
    <col min="6160" max="6394" width="9" style="1"/>
    <col min="6395" max="6395" width="3.33203125" style="1" customWidth="1"/>
    <col min="6396" max="6396" width="9" style="1"/>
    <col min="6397" max="6397" width="5.6640625" style="1" customWidth="1"/>
    <col min="6398" max="6398" width="3.33203125" style="1" customWidth="1"/>
    <col min="6399" max="6399" width="5.33203125" style="1" customWidth="1"/>
    <col min="6400" max="6400" width="2.88671875" style="1" customWidth="1"/>
    <col min="6401" max="6401" width="4.109375" style="1" customWidth="1"/>
    <col min="6402" max="6403" width="3.33203125" style="1" customWidth="1"/>
    <col min="6404" max="6404" width="2.6640625" style="1" customWidth="1"/>
    <col min="6405" max="6405" width="4.109375" style="1" customWidth="1"/>
    <col min="6406" max="6406" width="3.33203125" style="1" customWidth="1"/>
    <col min="6407" max="6407" width="4.109375" style="1" customWidth="1"/>
    <col min="6408" max="6408" width="3.33203125" style="1" customWidth="1"/>
    <col min="6409" max="6409" width="2" style="1" customWidth="1"/>
    <col min="6410" max="6410" width="9" style="1"/>
    <col min="6411" max="6411" width="7.6640625" style="1" customWidth="1"/>
    <col min="6412" max="6412" width="3.33203125" style="1" bestFit="1" customWidth="1"/>
    <col min="6413" max="6413" width="5.6640625" style="1" customWidth="1"/>
    <col min="6414" max="6414" width="9" style="1"/>
    <col min="6415" max="6415" width="5.33203125" style="1" customWidth="1"/>
    <col min="6416" max="6650" width="9" style="1"/>
    <col min="6651" max="6651" width="3.33203125" style="1" customWidth="1"/>
    <col min="6652" max="6652" width="9" style="1"/>
    <col min="6653" max="6653" width="5.6640625" style="1" customWidth="1"/>
    <col min="6654" max="6654" width="3.33203125" style="1" customWidth="1"/>
    <col min="6655" max="6655" width="5.33203125" style="1" customWidth="1"/>
    <col min="6656" max="6656" width="2.88671875" style="1" customWidth="1"/>
    <col min="6657" max="6657" width="4.109375" style="1" customWidth="1"/>
    <col min="6658" max="6659" width="3.33203125" style="1" customWidth="1"/>
    <col min="6660" max="6660" width="2.6640625" style="1" customWidth="1"/>
    <col min="6661" max="6661" width="4.109375" style="1" customWidth="1"/>
    <col min="6662" max="6662" width="3.33203125" style="1" customWidth="1"/>
    <col min="6663" max="6663" width="4.109375" style="1" customWidth="1"/>
    <col min="6664" max="6664" width="3.33203125" style="1" customWidth="1"/>
    <col min="6665" max="6665" width="2" style="1" customWidth="1"/>
    <col min="6666" max="6666" width="9" style="1"/>
    <col min="6667" max="6667" width="7.6640625" style="1" customWidth="1"/>
    <col min="6668" max="6668" width="3.33203125" style="1" bestFit="1" customWidth="1"/>
    <col min="6669" max="6669" width="5.6640625" style="1" customWidth="1"/>
    <col min="6670" max="6670" width="9" style="1"/>
    <col min="6671" max="6671" width="5.33203125" style="1" customWidth="1"/>
    <col min="6672" max="6906" width="9" style="1"/>
    <col min="6907" max="6907" width="3.33203125" style="1" customWidth="1"/>
    <col min="6908" max="6908" width="9" style="1"/>
    <col min="6909" max="6909" width="5.6640625" style="1" customWidth="1"/>
    <col min="6910" max="6910" width="3.33203125" style="1" customWidth="1"/>
    <col min="6911" max="6911" width="5.33203125" style="1" customWidth="1"/>
    <col min="6912" max="6912" width="2.88671875" style="1" customWidth="1"/>
    <col min="6913" max="6913" width="4.109375" style="1" customWidth="1"/>
    <col min="6914" max="6915" width="3.33203125" style="1" customWidth="1"/>
    <col min="6916" max="6916" width="2.6640625" style="1" customWidth="1"/>
    <col min="6917" max="6917" width="4.109375" style="1" customWidth="1"/>
    <col min="6918" max="6918" width="3.33203125" style="1" customWidth="1"/>
    <col min="6919" max="6919" width="4.109375" style="1" customWidth="1"/>
    <col min="6920" max="6920" width="3.33203125" style="1" customWidth="1"/>
    <col min="6921" max="6921" width="2" style="1" customWidth="1"/>
    <col min="6922" max="6922" width="9" style="1"/>
    <col min="6923" max="6923" width="7.6640625" style="1" customWidth="1"/>
    <col min="6924" max="6924" width="3.33203125" style="1" bestFit="1" customWidth="1"/>
    <col min="6925" max="6925" width="5.6640625" style="1" customWidth="1"/>
    <col min="6926" max="6926" width="9" style="1"/>
    <col min="6927" max="6927" width="5.33203125" style="1" customWidth="1"/>
    <col min="6928" max="7162" width="9" style="1"/>
    <col min="7163" max="7163" width="3.33203125" style="1" customWidth="1"/>
    <col min="7164" max="7164" width="9" style="1"/>
    <col min="7165" max="7165" width="5.6640625" style="1" customWidth="1"/>
    <col min="7166" max="7166" width="3.33203125" style="1" customWidth="1"/>
    <col min="7167" max="7167" width="5.33203125" style="1" customWidth="1"/>
    <col min="7168" max="7168" width="2.88671875" style="1" customWidth="1"/>
    <col min="7169" max="7169" width="4.109375" style="1" customWidth="1"/>
    <col min="7170" max="7171" width="3.33203125" style="1" customWidth="1"/>
    <col min="7172" max="7172" width="2.6640625" style="1" customWidth="1"/>
    <col min="7173" max="7173" width="4.109375" style="1" customWidth="1"/>
    <col min="7174" max="7174" width="3.33203125" style="1" customWidth="1"/>
    <col min="7175" max="7175" width="4.109375" style="1" customWidth="1"/>
    <col min="7176" max="7176" width="3.33203125" style="1" customWidth="1"/>
    <col min="7177" max="7177" width="2" style="1" customWidth="1"/>
    <col min="7178" max="7178" width="9" style="1"/>
    <col min="7179" max="7179" width="7.6640625" style="1" customWidth="1"/>
    <col min="7180" max="7180" width="3.33203125" style="1" bestFit="1" customWidth="1"/>
    <col min="7181" max="7181" width="5.6640625" style="1" customWidth="1"/>
    <col min="7182" max="7182" width="9" style="1"/>
    <col min="7183" max="7183" width="5.33203125" style="1" customWidth="1"/>
    <col min="7184" max="7418" width="9" style="1"/>
    <col min="7419" max="7419" width="3.33203125" style="1" customWidth="1"/>
    <col min="7420" max="7420" width="9" style="1"/>
    <col min="7421" max="7421" width="5.6640625" style="1" customWidth="1"/>
    <col min="7422" max="7422" width="3.33203125" style="1" customWidth="1"/>
    <col min="7423" max="7423" width="5.33203125" style="1" customWidth="1"/>
    <col min="7424" max="7424" width="2.88671875" style="1" customWidth="1"/>
    <col min="7425" max="7425" width="4.109375" style="1" customWidth="1"/>
    <col min="7426" max="7427" width="3.33203125" style="1" customWidth="1"/>
    <col min="7428" max="7428" width="2.6640625" style="1" customWidth="1"/>
    <col min="7429" max="7429" width="4.109375" style="1" customWidth="1"/>
    <col min="7430" max="7430" width="3.33203125" style="1" customWidth="1"/>
    <col min="7431" max="7431" width="4.109375" style="1" customWidth="1"/>
    <col min="7432" max="7432" width="3.33203125" style="1" customWidth="1"/>
    <col min="7433" max="7433" width="2" style="1" customWidth="1"/>
    <col min="7434" max="7434" width="9" style="1"/>
    <col min="7435" max="7435" width="7.6640625" style="1" customWidth="1"/>
    <col min="7436" max="7436" width="3.33203125" style="1" bestFit="1" customWidth="1"/>
    <col min="7437" max="7437" width="5.6640625" style="1" customWidth="1"/>
    <col min="7438" max="7438" width="9" style="1"/>
    <col min="7439" max="7439" width="5.33203125" style="1" customWidth="1"/>
    <col min="7440" max="7674" width="9" style="1"/>
    <col min="7675" max="7675" width="3.33203125" style="1" customWidth="1"/>
    <col min="7676" max="7676" width="9" style="1"/>
    <col min="7677" max="7677" width="5.6640625" style="1" customWidth="1"/>
    <col min="7678" max="7678" width="3.33203125" style="1" customWidth="1"/>
    <col min="7679" max="7679" width="5.33203125" style="1" customWidth="1"/>
    <col min="7680" max="7680" width="2.88671875" style="1" customWidth="1"/>
    <col min="7681" max="7681" width="4.109375" style="1" customWidth="1"/>
    <col min="7682" max="7683" width="3.33203125" style="1" customWidth="1"/>
    <col min="7684" max="7684" width="2.6640625" style="1" customWidth="1"/>
    <col min="7685" max="7685" width="4.109375" style="1" customWidth="1"/>
    <col min="7686" max="7686" width="3.33203125" style="1" customWidth="1"/>
    <col min="7687" max="7687" width="4.109375" style="1" customWidth="1"/>
    <col min="7688" max="7688" width="3.33203125" style="1" customWidth="1"/>
    <col min="7689" max="7689" width="2" style="1" customWidth="1"/>
    <col min="7690" max="7690" width="9" style="1"/>
    <col min="7691" max="7691" width="7.6640625" style="1" customWidth="1"/>
    <col min="7692" max="7692" width="3.33203125" style="1" bestFit="1" customWidth="1"/>
    <col min="7693" max="7693" width="5.6640625" style="1" customWidth="1"/>
    <col min="7694" max="7694" width="9" style="1"/>
    <col min="7695" max="7695" width="5.33203125" style="1" customWidth="1"/>
    <col min="7696" max="7930" width="9" style="1"/>
    <col min="7931" max="7931" width="3.33203125" style="1" customWidth="1"/>
    <col min="7932" max="7932" width="9" style="1"/>
    <col min="7933" max="7933" width="5.6640625" style="1" customWidth="1"/>
    <col min="7934" max="7934" width="3.33203125" style="1" customWidth="1"/>
    <col min="7935" max="7935" width="5.33203125" style="1" customWidth="1"/>
    <col min="7936" max="7936" width="2.88671875" style="1" customWidth="1"/>
    <col min="7937" max="7937" width="4.109375" style="1" customWidth="1"/>
    <col min="7938" max="7939" width="3.33203125" style="1" customWidth="1"/>
    <col min="7940" max="7940" width="2.6640625" style="1" customWidth="1"/>
    <col min="7941" max="7941" width="4.109375" style="1" customWidth="1"/>
    <col min="7942" max="7942" width="3.33203125" style="1" customWidth="1"/>
    <col min="7943" max="7943" width="4.109375" style="1" customWidth="1"/>
    <col min="7944" max="7944" width="3.33203125" style="1" customWidth="1"/>
    <col min="7945" max="7945" width="2" style="1" customWidth="1"/>
    <col min="7946" max="7946" width="9" style="1"/>
    <col min="7947" max="7947" width="7.6640625" style="1" customWidth="1"/>
    <col min="7948" max="7948" width="3.33203125" style="1" bestFit="1" customWidth="1"/>
    <col min="7949" max="7949" width="5.6640625" style="1" customWidth="1"/>
    <col min="7950" max="7950" width="9" style="1"/>
    <col min="7951" max="7951" width="5.33203125" style="1" customWidth="1"/>
    <col min="7952" max="8186" width="9" style="1"/>
    <col min="8187" max="8187" width="3.33203125" style="1" customWidth="1"/>
    <col min="8188" max="8188" width="9" style="1"/>
    <col min="8189" max="8189" width="5.6640625" style="1" customWidth="1"/>
    <col min="8190" max="8190" width="3.33203125" style="1" customWidth="1"/>
    <col min="8191" max="8191" width="5.33203125" style="1" customWidth="1"/>
    <col min="8192" max="8192" width="2.88671875" style="1" customWidth="1"/>
    <col min="8193" max="8193" width="4.109375" style="1" customWidth="1"/>
    <col min="8194" max="8195" width="3.33203125" style="1" customWidth="1"/>
    <col min="8196" max="8196" width="2.6640625" style="1" customWidth="1"/>
    <col min="8197" max="8197" width="4.109375" style="1" customWidth="1"/>
    <col min="8198" max="8198" width="3.33203125" style="1" customWidth="1"/>
    <col min="8199" max="8199" width="4.109375" style="1" customWidth="1"/>
    <col min="8200" max="8200" width="3.33203125" style="1" customWidth="1"/>
    <col min="8201" max="8201" width="2" style="1" customWidth="1"/>
    <col min="8202" max="8202" width="9" style="1"/>
    <col min="8203" max="8203" width="7.6640625" style="1" customWidth="1"/>
    <col min="8204" max="8204" width="3.33203125" style="1" bestFit="1" customWidth="1"/>
    <col min="8205" max="8205" width="5.6640625" style="1" customWidth="1"/>
    <col min="8206" max="8206" width="9" style="1"/>
    <col min="8207" max="8207" width="5.33203125" style="1" customWidth="1"/>
    <col min="8208" max="8442" width="9" style="1"/>
    <col min="8443" max="8443" width="3.33203125" style="1" customWidth="1"/>
    <col min="8444" max="8444" width="9" style="1"/>
    <col min="8445" max="8445" width="5.6640625" style="1" customWidth="1"/>
    <col min="8446" max="8446" width="3.33203125" style="1" customWidth="1"/>
    <col min="8447" max="8447" width="5.33203125" style="1" customWidth="1"/>
    <col min="8448" max="8448" width="2.88671875" style="1" customWidth="1"/>
    <col min="8449" max="8449" width="4.109375" style="1" customWidth="1"/>
    <col min="8450" max="8451" width="3.33203125" style="1" customWidth="1"/>
    <col min="8452" max="8452" width="2.6640625" style="1" customWidth="1"/>
    <col min="8453" max="8453" width="4.109375" style="1" customWidth="1"/>
    <col min="8454" max="8454" width="3.33203125" style="1" customWidth="1"/>
    <col min="8455" max="8455" width="4.109375" style="1" customWidth="1"/>
    <col min="8456" max="8456" width="3.33203125" style="1" customWidth="1"/>
    <col min="8457" max="8457" width="2" style="1" customWidth="1"/>
    <col min="8458" max="8458" width="9" style="1"/>
    <col min="8459" max="8459" width="7.6640625" style="1" customWidth="1"/>
    <col min="8460" max="8460" width="3.33203125" style="1" bestFit="1" customWidth="1"/>
    <col min="8461" max="8461" width="5.6640625" style="1" customWidth="1"/>
    <col min="8462" max="8462" width="9" style="1"/>
    <col min="8463" max="8463" width="5.33203125" style="1" customWidth="1"/>
    <col min="8464" max="8698" width="9" style="1"/>
    <col min="8699" max="8699" width="3.33203125" style="1" customWidth="1"/>
    <col min="8700" max="8700" width="9" style="1"/>
    <col min="8701" max="8701" width="5.6640625" style="1" customWidth="1"/>
    <col min="8702" max="8702" width="3.33203125" style="1" customWidth="1"/>
    <col min="8703" max="8703" width="5.33203125" style="1" customWidth="1"/>
    <col min="8704" max="8704" width="2.88671875" style="1" customWidth="1"/>
    <col min="8705" max="8705" width="4.109375" style="1" customWidth="1"/>
    <col min="8706" max="8707" width="3.33203125" style="1" customWidth="1"/>
    <col min="8708" max="8708" width="2.6640625" style="1" customWidth="1"/>
    <col min="8709" max="8709" width="4.109375" style="1" customWidth="1"/>
    <col min="8710" max="8710" width="3.33203125" style="1" customWidth="1"/>
    <col min="8711" max="8711" width="4.109375" style="1" customWidth="1"/>
    <col min="8712" max="8712" width="3.33203125" style="1" customWidth="1"/>
    <col min="8713" max="8713" width="2" style="1" customWidth="1"/>
    <col min="8714" max="8714" width="9" style="1"/>
    <col min="8715" max="8715" width="7.6640625" style="1" customWidth="1"/>
    <col min="8716" max="8716" width="3.33203125" style="1" bestFit="1" customWidth="1"/>
    <col min="8717" max="8717" width="5.6640625" style="1" customWidth="1"/>
    <col min="8718" max="8718" width="9" style="1"/>
    <col min="8719" max="8719" width="5.33203125" style="1" customWidth="1"/>
    <col min="8720" max="8954" width="9" style="1"/>
    <col min="8955" max="8955" width="3.33203125" style="1" customWidth="1"/>
    <col min="8956" max="8956" width="9" style="1"/>
    <col min="8957" max="8957" width="5.6640625" style="1" customWidth="1"/>
    <col min="8958" max="8958" width="3.33203125" style="1" customWidth="1"/>
    <col min="8959" max="8959" width="5.33203125" style="1" customWidth="1"/>
    <col min="8960" max="8960" width="2.88671875" style="1" customWidth="1"/>
    <col min="8961" max="8961" width="4.109375" style="1" customWidth="1"/>
    <col min="8962" max="8963" width="3.33203125" style="1" customWidth="1"/>
    <col min="8964" max="8964" width="2.6640625" style="1" customWidth="1"/>
    <col min="8965" max="8965" width="4.109375" style="1" customWidth="1"/>
    <col min="8966" max="8966" width="3.33203125" style="1" customWidth="1"/>
    <col min="8967" max="8967" width="4.109375" style="1" customWidth="1"/>
    <col min="8968" max="8968" width="3.33203125" style="1" customWidth="1"/>
    <col min="8969" max="8969" width="2" style="1" customWidth="1"/>
    <col min="8970" max="8970" width="9" style="1"/>
    <col min="8971" max="8971" width="7.6640625" style="1" customWidth="1"/>
    <col min="8972" max="8972" width="3.33203125" style="1" bestFit="1" customWidth="1"/>
    <col min="8973" max="8973" width="5.6640625" style="1" customWidth="1"/>
    <col min="8974" max="8974" width="9" style="1"/>
    <col min="8975" max="8975" width="5.33203125" style="1" customWidth="1"/>
    <col min="8976" max="9210" width="9" style="1"/>
    <col min="9211" max="9211" width="3.33203125" style="1" customWidth="1"/>
    <col min="9212" max="9212" width="9" style="1"/>
    <col min="9213" max="9213" width="5.6640625" style="1" customWidth="1"/>
    <col min="9214" max="9214" width="3.33203125" style="1" customWidth="1"/>
    <col min="9215" max="9215" width="5.33203125" style="1" customWidth="1"/>
    <col min="9216" max="9216" width="2.88671875" style="1" customWidth="1"/>
    <col min="9217" max="9217" width="4.109375" style="1" customWidth="1"/>
    <col min="9218" max="9219" width="3.33203125" style="1" customWidth="1"/>
    <col min="9220" max="9220" width="2.6640625" style="1" customWidth="1"/>
    <col min="9221" max="9221" width="4.109375" style="1" customWidth="1"/>
    <col min="9222" max="9222" width="3.33203125" style="1" customWidth="1"/>
    <col min="9223" max="9223" width="4.109375" style="1" customWidth="1"/>
    <col min="9224" max="9224" width="3.33203125" style="1" customWidth="1"/>
    <col min="9225" max="9225" width="2" style="1" customWidth="1"/>
    <col min="9226" max="9226" width="9" style="1"/>
    <col min="9227" max="9227" width="7.6640625" style="1" customWidth="1"/>
    <col min="9228" max="9228" width="3.33203125" style="1" bestFit="1" customWidth="1"/>
    <col min="9229" max="9229" width="5.6640625" style="1" customWidth="1"/>
    <col min="9230" max="9230" width="9" style="1"/>
    <col min="9231" max="9231" width="5.33203125" style="1" customWidth="1"/>
    <col min="9232" max="9466" width="9" style="1"/>
    <col min="9467" max="9467" width="3.33203125" style="1" customWidth="1"/>
    <col min="9468" max="9468" width="9" style="1"/>
    <col min="9469" max="9469" width="5.6640625" style="1" customWidth="1"/>
    <col min="9470" max="9470" width="3.33203125" style="1" customWidth="1"/>
    <col min="9471" max="9471" width="5.33203125" style="1" customWidth="1"/>
    <col min="9472" max="9472" width="2.88671875" style="1" customWidth="1"/>
    <col min="9473" max="9473" width="4.109375" style="1" customWidth="1"/>
    <col min="9474" max="9475" width="3.33203125" style="1" customWidth="1"/>
    <col min="9476" max="9476" width="2.6640625" style="1" customWidth="1"/>
    <col min="9477" max="9477" width="4.109375" style="1" customWidth="1"/>
    <col min="9478" max="9478" width="3.33203125" style="1" customWidth="1"/>
    <col min="9479" max="9479" width="4.109375" style="1" customWidth="1"/>
    <col min="9480" max="9480" width="3.33203125" style="1" customWidth="1"/>
    <col min="9481" max="9481" width="2" style="1" customWidth="1"/>
    <col min="9482" max="9482" width="9" style="1"/>
    <col min="9483" max="9483" width="7.6640625" style="1" customWidth="1"/>
    <col min="9484" max="9484" width="3.33203125" style="1" bestFit="1" customWidth="1"/>
    <col min="9485" max="9485" width="5.6640625" style="1" customWidth="1"/>
    <col min="9486" max="9486" width="9" style="1"/>
    <col min="9487" max="9487" width="5.33203125" style="1" customWidth="1"/>
    <col min="9488" max="9722" width="9" style="1"/>
    <col min="9723" max="9723" width="3.33203125" style="1" customWidth="1"/>
    <col min="9724" max="9724" width="9" style="1"/>
    <col min="9725" max="9725" width="5.6640625" style="1" customWidth="1"/>
    <col min="9726" max="9726" width="3.33203125" style="1" customWidth="1"/>
    <col min="9727" max="9727" width="5.33203125" style="1" customWidth="1"/>
    <col min="9728" max="9728" width="2.88671875" style="1" customWidth="1"/>
    <col min="9729" max="9729" width="4.109375" style="1" customWidth="1"/>
    <col min="9730" max="9731" width="3.33203125" style="1" customWidth="1"/>
    <col min="9732" max="9732" width="2.6640625" style="1" customWidth="1"/>
    <col min="9733" max="9733" width="4.109375" style="1" customWidth="1"/>
    <col min="9734" max="9734" width="3.33203125" style="1" customWidth="1"/>
    <col min="9735" max="9735" width="4.109375" style="1" customWidth="1"/>
    <col min="9736" max="9736" width="3.33203125" style="1" customWidth="1"/>
    <col min="9737" max="9737" width="2" style="1" customWidth="1"/>
    <col min="9738" max="9738" width="9" style="1"/>
    <col min="9739" max="9739" width="7.6640625" style="1" customWidth="1"/>
    <col min="9740" max="9740" width="3.33203125" style="1" bestFit="1" customWidth="1"/>
    <col min="9741" max="9741" width="5.6640625" style="1" customWidth="1"/>
    <col min="9742" max="9742" width="9" style="1"/>
    <col min="9743" max="9743" width="5.33203125" style="1" customWidth="1"/>
    <col min="9744" max="9978" width="9" style="1"/>
    <col min="9979" max="9979" width="3.33203125" style="1" customWidth="1"/>
    <col min="9980" max="9980" width="9" style="1"/>
    <col min="9981" max="9981" width="5.6640625" style="1" customWidth="1"/>
    <col min="9982" max="9982" width="3.33203125" style="1" customWidth="1"/>
    <col min="9983" max="9983" width="5.33203125" style="1" customWidth="1"/>
    <col min="9984" max="9984" width="2.88671875" style="1" customWidth="1"/>
    <col min="9985" max="9985" width="4.109375" style="1" customWidth="1"/>
    <col min="9986" max="9987" width="3.33203125" style="1" customWidth="1"/>
    <col min="9988" max="9988" width="2.6640625" style="1" customWidth="1"/>
    <col min="9989" max="9989" width="4.109375" style="1" customWidth="1"/>
    <col min="9990" max="9990" width="3.33203125" style="1" customWidth="1"/>
    <col min="9991" max="9991" width="4.109375" style="1" customWidth="1"/>
    <col min="9992" max="9992" width="3.33203125" style="1" customWidth="1"/>
    <col min="9993" max="9993" width="2" style="1" customWidth="1"/>
    <col min="9994" max="9994" width="9" style="1"/>
    <col min="9995" max="9995" width="7.6640625" style="1" customWidth="1"/>
    <col min="9996" max="9996" width="3.33203125" style="1" bestFit="1" customWidth="1"/>
    <col min="9997" max="9997" width="5.6640625" style="1" customWidth="1"/>
    <col min="9998" max="9998" width="9" style="1"/>
    <col min="9999" max="9999" width="5.33203125" style="1" customWidth="1"/>
    <col min="10000" max="10234" width="9" style="1"/>
    <col min="10235" max="10235" width="3.33203125" style="1" customWidth="1"/>
    <col min="10236" max="10236" width="9" style="1"/>
    <col min="10237" max="10237" width="5.6640625" style="1" customWidth="1"/>
    <col min="10238" max="10238" width="3.33203125" style="1" customWidth="1"/>
    <col min="10239" max="10239" width="5.33203125" style="1" customWidth="1"/>
    <col min="10240" max="10240" width="2.88671875" style="1" customWidth="1"/>
    <col min="10241" max="10241" width="4.109375" style="1" customWidth="1"/>
    <col min="10242" max="10243" width="3.33203125" style="1" customWidth="1"/>
    <col min="10244" max="10244" width="2.6640625" style="1" customWidth="1"/>
    <col min="10245" max="10245" width="4.109375" style="1" customWidth="1"/>
    <col min="10246" max="10246" width="3.33203125" style="1" customWidth="1"/>
    <col min="10247" max="10247" width="4.109375" style="1" customWidth="1"/>
    <col min="10248" max="10248" width="3.33203125" style="1" customWidth="1"/>
    <col min="10249" max="10249" width="2" style="1" customWidth="1"/>
    <col min="10250" max="10250" width="9" style="1"/>
    <col min="10251" max="10251" width="7.6640625" style="1" customWidth="1"/>
    <col min="10252" max="10252" width="3.33203125" style="1" bestFit="1" customWidth="1"/>
    <col min="10253" max="10253" width="5.6640625" style="1" customWidth="1"/>
    <col min="10254" max="10254" width="9" style="1"/>
    <col min="10255" max="10255" width="5.33203125" style="1" customWidth="1"/>
    <col min="10256" max="10490" width="9" style="1"/>
    <col min="10491" max="10491" width="3.33203125" style="1" customWidth="1"/>
    <col min="10492" max="10492" width="9" style="1"/>
    <col min="10493" max="10493" width="5.6640625" style="1" customWidth="1"/>
    <col min="10494" max="10494" width="3.33203125" style="1" customWidth="1"/>
    <col min="10495" max="10495" width="5.33203125" style="1" customWidth="1"/>
    <col min="10496" max="10496" width="2.88671875" style="1" customWidth="1"/>
    <col min="10497" max="10497" width="4.109375" style="1" customWidth="1"/>
    <col min="10498" max="10499" width="3.33203125" style="1" customWidth="1"/>
    <col min="10500" max="10500" width="2.6640625" style="1" customWidth="1"/>
    <col min="10501" max="10501" width="4.109375" style="1" customWidth="1"/>
    <col min="10502" max="10502" width="3.33203125" style="1" customWidth="1"/>
    <col min="10503" max="10503" width="4.109375" style="1" customWidth="1"/>
    <col min="10504" max="10504" width="3.33203125" style="1" customWidth="1"/>
    <col min="10505" max="10505" width="2" style="1" customWidth="1"/>
    <col min="10506" max="10506" width="9" style="1"/>
    <col min="10507" max="10507" width="7.6640625" style="1" customWidth="1"/>
    <col min="10508" max="10508" width="3.33203125" style="1" bestFit="1" customWidth="1"/>
    <col min="10509" max="10509" width="5.6640625" style="1" customWidth="1"/>
    <col min="10510" max="10510" width="9" style="1"/>
    <col min="10511" max="10511" width="5.33203125" style="1" customWidth="1"/>
    <col min="10512" max="10746" width="9" style="1"/>
    <col min="10747" max="10747" width="3.33203125" style="1" customWidth="1"/>
    <col min="10748" max="10748" width="9" style="1"/>
    <col min="10749" max="10749" width="5.6640625" style="1" customWidth="1"/>
    <col min="10750" max="10750" width="3.33203125" style="1" customWidth="1"/>
    <col min="10751" max="10751" width="5.33203125" style="1" customWidth="1"/>
    <col min="10752" max="10752" width="2.88671875" style="1" customWidth="1"/>
    <col min="10753" max="10753" width="4.109375" style="1" customWidth="1"/>
    <col min="10754" max="10755" width="3.33203125" style="1" customWidth="1"/>
    <col min="10756" max="10756" width="2.6640625" style="1" customWidth="1"/>
    <col min="10757" max="10757" width="4.109375" style="1" customWidth="1"/>
    <col min="10758" max="10758" width="3.33203125" style="1" customWidth="1"/>
    <col min="10759" max="10759" width="4.109375" style="1" customWidth="1"/>
    <col min="10760" max="10760" width="3.33203125" style="1" customWidth="1"/>
    <col min="10761" max="10761" width="2" style="1" customWidth="1"/>
    <col min="10762" max="10762" width="9" style="1"/>
    <col min="10763" max="10763" width="7.6640625" style="1" customWidth="1"/>
    <col min="10764" max="10764" width="3.33203125" style="1" bestFit="1" customWidth="1"/>
    <col min="10765" max="10765" width="5.6640625" style="1" customWidth="1"/>
    <col min="10766" max="10766" width="9" style="1"/>
    <col min="10767" max="10767" width="5.33203125" style="1" customWidth="1"/>
    <col min="10768" max="11002" width="9" style="1"/>
    <col min="11003" max="11003" width="3.33203125" style="1" customWidth="1"/>
    <col min="11004" max="11004" width="9" style="1"/>
    <col min="11005" max="11005" width="5.6640625" style="1" customWidth="1"/>
    <col min="11006" max="11006" width="3.33203125" style="1" customWidth="1"/>
    <col min="11007" max="11007" width="5.33203125" style="1" customWidth="1"/>
    <col min="11008" max="11008" width="2.88671875" style="1" customWidth="1"/>
    <col min="11009" max="11009" width="4.109375" style="1" customWidth="1"/>
    <col min="11010" max="11011" width="3.33203125" style="1" customWidth="1"/>
    <col min="11012" max="11012" width="2.6640625" style="1" customWidth="1"/>
    <col min="11013" max="11013" width="4.109375" style="1" customWidth="1"/>
    <col min="11014" max="11014" width="3.33203125" style="1" customWidth="1"/>
    <col min="11015" max="11015" width="4.109375" style="1" customWidth="1"/>
    <col min="11016" max="11016" width="3.33203125" style="1" customWidth="1"/>
    <col min="11017" max="11017" width="2" style="1" customWidth="1"/>
    <col min="11018" max="11018" width="9" style="1"/>
    <col min="11019" max="11019" width="7.6640625" style="1" customWidth="1"/>
    <col min="11020" max="11020" width="3.33203125" style="1" bestFit="1" customWidth="1"/>
    <col min="11021" max="11021" width="5.6640625" style="1" customWidth="1"/>
    <col min="11022" max="11022" width="9" style="1"/>
    <col min="11023" max="11023" width="5.33203125" style="1" customWidth="1"/>
    <col min="11024" max="11258" width="9" style="1"/>
    <col min="11259" max="11259" width="3.33203125" style="1" customWidth="1"/>
    <col min="11260" max="11260" width="9" style="1"/>
    <col min="11261" max="11261" width="5.6640625" style="1" customWidth="1"/>
    <col min="11262" max="11262" width="3.33203125" style="1" customWidth="1"/>
    <col min="11263" max="11263" width="5.33203125" style="1" customWidth="1"/>
    <col min="11264" max="11264" width="2.88671875" style="1" customWidth="1"/>
    <col min="11265" max="11265" width="4.109375" style="1" customWidth="1"/>
    <col min="11266" max="11267" width="3.33203125" style="1" customWidth="1"/>
    <col min="11268" max="11268" width="2.6640625" style="1" customWidth="1"/>
    <col min="11269" max="11269" width="4.109375" style="1" customWidth="1"/>
    <col min="11270" max="11270" width="3.33203125" style="1" customWidth="1"/>
    <col min="11271" max="11271" width="4.109375" style="1" customWidth="1"/>
    <col min="11272" max="11272" width="3.33203125" style="1" customWidth="1"/>
    <col min="11273" max="11273" width="2" style="1" customWidth="1"/>
    <col min="11274" max="11274" width="9" style="1"/>
    <col min="11275" max="11275" width="7.6640625" style="1" customWidth="1"/>
    <col min="11276" max="11276" width="3.33203125" style="1" bestFit="1" customWidth="1"/>
    <col min="11277" max="11277" width="5.6640625" style="1" customWidth="1"/>
    <col min="11278" max="11278" width="9" style="1"/>
    <col min="11279" max="11279" width="5.33203125" style="1" customWidth="1"/>
    <col min="11280" max="11514" width="9" style="1"/>
    <col min="11515" max="11515" width="3.33203125" style="1" customWidth="1"/>
    <col min="11516" max="11516" width="9" style="1"/>
    <col min="11517" max="11517" width="5.6640625" style="1" customWidth="1"/>
    <col min="11518" max="11518" width="3.33203125" style="1" customWidth="1"/>
    <col min="11519" max="11519" width="5.33203125" style="1" customWidth="1"/>
    <col min="11520" max="11520" width="2.88671875" style="1" customWidth="1"/>
    <col min="11521" max="11521" width="4.109375" style="1" customWidth="1"/>
    <col min="11522" max="11523" width="3.33203125" style="1" customWidth="1"/>
    <col min="11524" max="11524" width="2.6640625" style="1" customWidth="1"/>
    <col min="11525" max="11525" width="4.109375" style="1" customWidth="1"/>
    <col min="11526" max="11526" width="3.33203125" style="1" customWidth="1"/>
    <col min="11527" max="11527" width="4.109375" style="1" customWidth="1"/>
    <col min="11528" max="11528" width="3.33203125" style="1" customWidth="1"/>
    <col min="11529" max="11529" width="2" style="1" customWidth="1"/>
    <col min="11530" max="11530" width="9" style="1"/>
    <col min="11531" max="11531" width="7.6640625" style="1" customWidth="1"/>
    <col min="11532" max="11532" width="3.33203125" style="1" bestFit="1" customWidth="1"/>
    <col min="11533" max="11533" width="5.6640625" style="1" customWidth="1"/>
    <col min="11534" max="11534" width="9" style="1"/>
    <col min="11535" max="11535" width="5.33203125" style="1" customWidth="1"/>
    <col min="11536" max="11770" width="9" style="1"/>
    <col min="11771" max="11771" width="3.33203125" style="1" customWidth="1"/>
    <col min="11772" max="11772" width="9" style="1"/>
    <col min="11773" max="11773" width="5.6640625" style="1" customWidth="1"/>
    <col min="11774" max="11774" width="3.33203125" style="1" customWidth="1"/>
    <col min="11775" max="11775" width="5.33203125" style="1" customWidth="1"/>
    <col min="11776" max="11776" width="2.88671875" style="1" customWidth="1"/>
    <col min="11777" max="11777" width="4.109375" style="1" customWidth="1"/>
    <col min="11778" max="11779" width="3.33203125" style="1" customWidth="1"/>
    <col min="11780" max="11780" width="2.6640625" style="1" customWidth="1"/>
    <col min="11781" max="11781" width="4.109375" style="1" customWidth="1"/>
    <col min="11782" max="11782" width="3.33203125" style="1" customWidth="1"/>
    <col min="11783" max="11783" width="4.109375" style="1" customWidth="1"/>
    <col min="11784" max="11784" width="3.33203125" style="1" customWidth="1"/>
    <col min="11785" max="11785" width="2" style="1" customWidth="1"/>
    <col min="11786" max="11786" width="9" style="1"/>
    <col min="11787" max="11787" width="7.6640625" style="1" customWidth="1"/>
    <col min="11788" max="11788" width="3.33203125" style="1" bestFit="1" customWidth="1"/>
    <col min="11789" max="11789" width="5.6640625" style="1" customWidth="1"/>
    <col min="11790" max="11790" width="9" style="1"/>
    <col min="11791" max="11791" width="5.33203125" style="1" customWidth="1"/>
    <col min="11792" max="12026" width="9" style="1"/>
    <col min="12027" max="12027" width="3.33203125" style="1" customWidth="1"/>
    <col min="12028" max="12028" width="9" style="1"/>
    <col min="12029" max="12029" width="5.6640625" style="1" customWidth="1"/>
    <col min="12030" max="12030" width="3.33203125" style="1" customWidth="1"/>
    <col min="12031" max="12031" width="5.33203125" style="1" customWidth="1"/>
    <col min="12032" max="12032" width="2.88671875" style="1" customWidth="1"/>
    <col min="12033" max="12033" width="4.109375" style="1" customWidth="1"/>
    <col min="12034" max="12035" width="3.33203125" style="1" customWidth="1"/>
    <col min="12036" max="12036" width="2.6640625" style="1" customWidth="1"/>
    <col min="12037" max="12037" width="4.109375" style="1" customWidth="1"/>
    <col min="12038" max="12038" width="3.33203125" style="1" customWidth="1"/>
    <col min="12039" max="12039" width="4.109375" style="1" customWidth="1"/>
    <col min="12040" max="12040" width="3.33203125" style="1" customWidth="1"/>
    <col min="12041" max="12041" width="2" style="1" customWidth="1"/>
    <col min="12042" max="12042" width="9" style="1"/>
    <col min="12043" max="12043" width="7.6640625" style="1" customWidth="1"/>
    <col min="12044" max="12044" width="3.33203125" style="1" bestFit="1" customWidth="1"/>
    <col min="12045" max="12045" width="5.6640625" style="1" customWidth="1"/>
    <col min="12046" max="12046" width="9" style="1"/>
    <col min="12047" max="12047" width="5.33203125" style="1" customWidth="1"/>
    <col min="12048" max="12282" width="9" style="1"/>
    <col min="12283" max="12283" width="3.33203125" style="1" customWidth="1"/>
    <col min="12284" max="12284" width="9" style="1"/>
    <col min="12285" max="12285" width="5.6640625" style="1" customWidth="1"/>
    <col min="12286" max="12286" width="3.33203125" style="1" customWidth="1"/>
    <col min="12287" max="12287" width="5.33203125" style="1" customWidth="1"/>
    <col min="12288" max="12288" width="2.88671875" style="1" customWidth="1"/>
    <col min="12289" max="12289" width="4.109375" style="1" customWidth="1"/>
    <col min="12290" max="12291" width="3.33203125" style="1" customWidth="1"/>
    <col min="12292" max="12292" width="2.6640625" style="1" customWidth="1"/>
    <col min="12293" max="12293" width="4.109375" style="1" customWidth="1"/>
    <col min="12294" max="12294" width="3.33203125" style="1" customWidth="1"/>
    <col min="12295" max="12295" width="4.109375" style="1" customWidth="1"/>
    <col min="12296" max="12296" width="3.33203125" style="1" customWidth="1"/>
    <col min="12297" max="12297" width="2" style="1" customWidth="1"/>
    <col min="12298" max="12298" width="9" style="1"/>
    <col min="12299" max="12299" width="7.6640625" style="1" customWidth="1"/>
    <col min="12300" max="12300" width="3.33203125" style="1" bestFit="1" customWidth="1"/>
    <col min="12301" max="12301" width="5.6640625" style="1" customWidth="1"/>
    <col min="12302" max="12302" width="9" style="1"/>
    <col min="12303" max="12303" width="5.33203125" style="1" customWidth="1"/>
    <col min="12304" max="12538" width="9" style="1"/>
    <col min="12539" max="12539" width="3.33203125" style="1" customWidth="1"/>
    <col min="12540" max="12540" width="9" style="1"/>
    <col min="12541" max="12541" width="5.6640625" style="1" customWidth="1"/>
    <col min="12542" max="12542" width="3.33203125" style="1" customWidth="1"/>
    <col min="12543" max="12543" width="5.33203125" style="1" customWidth="1"/>
    <col min="12544" max="12544" width="2.88671875" style="1" customWidth="1"/>
    <col min="12545" max="12545" width="4.109375" style="1" customWidth="1"/>
    <col min="12546" max="12547" width="3.33203125" style="1" customWidth="1"/>
    <col min="12548" max="12548" width="2.6640625" style="1" customWidth="1"/>
    <col min="12549" max="12549" width="4.109375" style="1" customWidth="1"/>
    <col min="12550" max="12550" width="3.33203125" style="1" customWidth="1"/>
    <col min="12551" max="12551" width="4.109375" style="1" customWidth="1"/>
    <col min="12552" max="12552" width="3.33203125" style="1" customWidth="1"/>
    <col min="12553" max="12553" width="2" style="1" customWidth="1"/>
    <col min="12554" max="12554" width="9" style="1"/>
    <col min="12555" max="12555" width="7.6640625" style="1" customWidth="1"/>
    <col min="12556" max="12556" width="3.33203125" style="1" bestFit="1" customWidth="1"/>
    <col min="12557" max="12557" width="5.6640625" style="1" customWidth="1"/>
    <col min="12558" max="12558" width="9" style="1"/>
    <col min="12559" max="12559" width="5.33203125" style="1" customWidth="1"/>
    <col min="12560" max="12794" width="9" style="1"/>
    <col min="12795" max="12795" width="3.33203125" style="1" customWidth="1"/>
    <col min="12796" max="12796" width="9" style="1"/>
    <col min="12797" max="12797" width="5.6640625" style="1" customWidth="1"/>
    <col min="12798" max="12798" width="3.33203125" style="1" customWidth="1"/>
    <col min="12799" max="12799" width="5.33203125" style="1" customWidth="1"/>
    <col min="12800" max="12800" width="2.88671875" style="1" customWidth="1"/>
    <col min="12801" max="12801" width="4.109375" style="1" customWidth="1"/>
    <col min="12802" max="12803" width="3.33203125" style="1" customWidth="1"/>
    <col min="12804" max="12804" width="2.6640625" style="1" customWidth="1"/>
    <col min="12805" max="12805" width="4.109375" style="1" customWidth="1"/>
    <col min="12806" max="12806" width="3.33203125" style="1" customWidth="1"/>
    <col min="12807" max="12807" width="4.109375" style="1" customWidth="1"/>
    <col min="12808" max="12808" width="3.33203125" style="1" customWidth="1"/>
    <col min="12809" max="12809" width="2" style="1" customWidth="1"/>
    <col min="12810" max="12810" width="9" style="1"/>
    <col min="12811" max="12811" width="7.6640625" style="1" customWidth="1"/>
    <col min="12812" max="12812" width="3.33203125" style="1" bestFit="1" customWidth="1"/>
    <col min="12813" max="12813" width="5.6640625" style="1" customWidth="1"/>
    <col min="12814" max="12814" width="9" style="1"/>
    <col min="12815" max="12815" width="5.33203125" style="1" customWidth="1"/>
    <col min="12816" max="13050" width="9" style="1"/>
    <col min="13051" max="13051" width="3.33203125" style="1" customWidth="1"/>
    <col min="13052" max="13052" width="9" style="1"/>
    <col min="13053" max="13053" width="5.6640625" style="1" customWidth="1"/>
    <col min="13054" max="13054" width="3.33203125" style="1" customWidth="1"/>
    <col min="13055" max="13055" width="5.33203125" style="1" customWidth="1"/>
    <col min="13056" max="13056" width="2.88671875" style="1" customWidth="1"/>
    <col min="13057" max="13057" width="4.109375" style="1" customWidth="1"/>
    <col min="13058" max="13059" width="3.33203125" style="1" customWidth="1"/>
    <col min="13060" max="13060" width="2.6640625" style="1" customWidth="1"/>
    <col min="13061" max="13061" width="4.109375" style="1" customWidth="1"/>
    <col min="13062" max="13062" width="3.33203125" style="1" customWidth="1"/>
    <col min="13063" max="13063" width="4.109375" style="1" customWidth="1"/>
    <col min="13064" max="13064" width="3.33203125" style="1" customWidth="1"/>
    <col min="13065" max="13065" width="2" style="1" customWidth="1"/>
    <col min="13066" max="13066" width="9" style="1"/>
    <col min="13067" max="13067" width="7.6640625" style="1" customWidth="1"/>
    <col min="13068" max="13068" width="3.33203125" style="1" bestFit="1" customWidth="1"/>
    <col min="13069" max="13069" width="5.6640625" style="1" customWidth="1"/>
    <col min="13070" max="13070" width="9" style="1"/>
    <col min="13071" max="13071" width="5.33203125" style="1" customWidth="1"/>
    <col min="13072" max="13306" width="9" style="1"/>
    <col min="13307" max="13307" width="3.33203125" style="1" customWidth="1"/>
    <col min="13308" max="13308" width="9" style="1"/>
    <col min="13309" max="13309" width="5.6640625" style="1" customWidth="1"/>
    <col min="13310" max="13310" width="3.33203125" style="1" customWidth="1"/>
    <col min="13311" max="13311" width="5.33203125" style="1" customWidth="1"/>
    <col min="13312" max="13312" width="2.88671875" style="1" customWidth="1"/>
    <col min="13313" max="13313" width="4.109375" style="1" customWidth="1"/>
    <col min="13314" max="13315" width="3.33203125" style="1" customWidth="1"/>
    <col min="13316" max="13316" width="2.6640625" style="1" customWidth="1"/>
    <col min="13317" max="13317" width="4.109375" style="1" customWidth="1"/>
    <col min="13318" max="13318" width="3.33203125" style="1" customWidth="1"/>
    <col min="13319" max="13319" width="4.109375" style="1" customWidth="1"/>
    <col min="13320" max="13320" width="3.33203125" style="1" customWidth="1"/>
    <col min="13321" max="13321" width="2" style="1" customWidth="1"/>
    <col min="13322" max="13322" width="9" style="1"/>
    <col min="13323" max="13323" width="7.6640625" style="1" customWidth="1"/>
    <col min="13324" max="13324" width="3.33203125" style="1" bestFit="1" customWidth="1"/>
    <col min="13325" max="13325" width="5.6640625" style="1" customWidth="1"/>
    <col min="13326" max="13326" width="9" style="1"/>
    <col min="13327" max="13327" width="5.33203125" style="1" customWidth="1"/>
    <col min="13328" max="13562" width="9" style="1"/>
    <col min="13563" max="13563" width="3.33203125" style="1" customWidth="1"/>
    <col min="13564" max="13564" width="9" style="1"/>
    <col min="13565" max="13565" width="5.6640625" style="1" customWidth="1"/>
    <col min="13566" max="13566" width="3.33203125" style="1" customWidth="1"/>
    <col min="13567" max="13567" width="5.33203125" style="1" customWidth="1"/>
    <col min="13568" max="13568" width="2.88671875" style="1" customWidth="1"/>
    <col min="13569" max="13569" width="4.109375" style="1" customWidth="1"/>
    <col min="13570" max="13571" width="3.33203125" style="1" customWidth="1"/>
    <col min="13572" max="13572" width="2.6640625" style="1" customWidth="1"/>
    <col min="13573" max="13573" width="4.109375" style="1" customWidth="1"/>
    <col min="13574" max="13574" width="3.33203125" style="1" customWidth="1"/>
    <col min="13575" max="13575" width="4.109375" style="1" customWidth="1"/>
    <col min="13576" max="13576" width="3.33203125" style="1" customWidth="1"/>
    <col min="13577" max="13577" width="2" style="1" customWidth="1"/>
    <col min="13578" max="13578" width="9" style="1"/>
    <col min="13579" max="13579" width="7.6640625" style="1" customWidth="1"/>
    <col min="13580" max="13580" width="3.33203125" style="1" bestFit="1" customWidth="1"/>
    <col min="13581" max="13581" width="5.6640625" style="1" customWidth="1"/>
    <col min="13582" max="13582" width="9" style="1"/>
    <col min="13583" max="13583" width="5.33203125" style="1" customWidth="1"/>
    <col min="13584" max="13818" width="9" style="1"/>
    <col min="13819" max="13819" width="3.33203125" style="1" customWidth="1"/>
    <col min="13820" max="13820" width="9" style="1"/>
    <col min="13821" max="13821" width="5.6640625" style="1" customWidth="1"/>
    <col min="13822" max="13822" width="3.33203125" style="1" customWidth="1"/>
    <col min="13823" max="13823" width="5.33203125" style="1" customWidth="1"/>
    <col min="13824" max="13824" width="2.88671875" style="1" customWidth="1"/>
    <col min="13825" max="13825" width="4.109375" style="1" customWidth="1"/>
    <col min="13826" max="13827" width="3.33203125" style="1" customWidth="1"/>
    <col min="13828" max="13828" width="2.6640625" style="1" customWidth="1"/>
    <col min="13829" max="13829" width="4.109375" style="1" customWidth="1"/>
    <col min="13830" max="13830" width="3.33203125" style="1" customWidth="1"/>
    <col min="13831" max="13831" width="4.109375" style="1" customWidth="1"/>
    <col min="13832" max="13832" width="3.33203125" style="1" customWidth="1"/>
    <col min="13833" max="13833" width="2" style="1" customWidth="1"/>
    <col min="13834" max="13834" width="9" style="1"/>
    <col min="13835" max="13835" width="7.6640625" style="1" customWidth="1"/>
    <col min="13836" max="13836" width="3.33203125" style="1" bestFit="1" customWidth="1"/>
    <col min="13837" max="13837" width="5.6640625" style="1" customWidth="1"/>
    <col min="13838" max="13838" width="9" style="1"/>
    <col min="13839" max="13839" width="5.33203125" style="1" customWidth="1"/>
    <col min="13840" max="14074" width="9" style="1"/>
    <col min="14075" max="14075" width="3.33203125" style="1" customWidth="1"/>
    <col min="14076" max="14076" width="9" style="1"/>
    <col min="14077" max="14077" width="5.6640625" style="1" customWidth="1"/>
    <col min="14078" max="14078" width="3.33203125" style="1" customWidth="1"/>
    <col min="14079" max="14079" width="5.33203125" style="1" customWidth="1"/>
    <col min="14080" max="14080" width="2.88671875" style="1" customWidth="1"/>
    <col min="14081" max="14081" width="4.109375" style="1" customWidth="1"/>
    <col min="14082" max="14083" width="3.33203125" style="1" customWidth="1"/>
    <col min="14084" max="14084" width="2.6640625" style="1" customWidth="1"/>
    <col min="14085" max="14085" width="4.109375" style="1" customWidth="1"/>
    <col min="14086" max="14086" width="3.33203125" style="1" customWidth="1"/>
    <col min="14087" max="14087" width="4.109375" style="1" customWidth="1"/>
    <col min="14088" max="14088" width="3.33203125" style="1" customWidth="1"/>
    <col min="14089" max="14089" width="2" style="1" customWidth="1"/>
    <col min="14090" max="14090" width="9" style="1"/>
    <col min="14091" max="14091" width="7.6640625" style="1" customWidth="1"/>
    <col min="14092" max="14092" width="3.33203125" style="1" bestFit="1" customWidth="1"/>
    <col min="14093" max="14093" width="5.6640625" style="1" customWidth="1"/>
    <col min="14094" max="14094" width="9" style="1"/>
    <col min="14095" max="14095" width="5.33203125" style="1" customWidth="1"/>
    <col min="14096" max="14330" width="9" style="1"/>
    <col min="14331" max="14331" width="3.33203125" style="1" customWidth="1"/>
    <col min="14332" max="14332" width="9" style="1"/>
    <col min="14333" max="14333" width="5.6640625" style="1" customWidth="1"/>
    <col min="14334" max="14334" width="3.33203125" style="1" customWidth="1"/>
    <col min="14335" max="14335" width="5.33203125" style="1" customWidth="1"/>
    <col min="14336" max="14336" width="2.88671875" style="1" customWidth="1"/>
    <col min="14337" max="14337" width="4.109375" style="1" customWidth="1"/>
    <col min="14338" max="14339" width="3.33203125" style="1" customWidth="1"/>
    <col min="14340" max="14340" width="2.6640625" style="1" customWidth="1"/>
    <col min="14341" max="14341" width="4.109375" style="1" customWidth="1"/>
    <col min="14342" max="14342" width="3.33203125" style="1" customWidth="1"/>
    <col min="14343" max="14343" width="4.109375" style="1" customWidth="1"/>
    <col min="14344" max="14344" width="3.33203125" style="1" customWidth="1"/>
    <col min="14345" max="14345" width="2" style="1" customWidth="1"/>
    <col min="14346" max="14346" width="9" style="1"/>
    <col min="14347" max="14347" width="7.6640625" style="1" customWidth="1"/>
    <col min="14348" max="14348" width="3.33203125" style="1" bestFit="1" customWidth="1"/>
    <col min="14349" max="14349" width="5.6640625" style="1" customWidth="1"/>
    <col min="14350" max="14350" width="9" style="1"/>
    <col min="14351" max="14351" width="5.33203125" style="1" customWidth="1"/>
    <col min="14352" max="14586" width="9" style="1"/>
    <col min="14587" max="14587" width="3.33203125" style="1" customWidth="1"/>
    <col min="14588" max="14588" width="9" style="1"/>
    <col min="14589" max="14589" width="5.6640625" style="1" customWidth="1"/>
    <col min="14590" max="14590" width="3.33203125" style="1" customWidth="1"/>
    <col min="14591" max="14591" width="5.33203125" style="1" customWidth="1"/>
    <col min="14592" max="14592" width="2.88671875" style="1" customWidth="1"/>
    <col min="14593" max="14593" width="4.109375" style="1" customWidth="1"/>
    <col min="14594" max="14595" width="3.33203125" style="1" customWidth="1"/>
    <col min="14596" max="14596" width="2.6640625" style="1" customWidth="1"/>
    <col min="14597" max="14597" width="4.109375" style="1" customWidth="1"/>
    <col min="14598" max="14598" width="3.33203125" style="1" customWidth="1"/>
    <col min="14599" max="14599" width="4.109375" style="1" customWidth="1"/>
    <col min="14600" max="14600" width="3.33203125" style="1" customWidth="1"/>
    <col min="14601" max="14601" width="2" style="1" customWidth="1"/>
    <col min="14602" max="14602" width="9" style="1"/>
    <col min="14603" max="14603" width="7.6640625" style="1" customWidth="1"/>
    <col min="14604" max="14604" width="3.33203125" style="1" bestFit="1" customWidth="1"/>
    <col min="14605" max="14605" width="5.6640625" style="1" customWidth="1"/>
    <col min="14606" max="14606" width="9" style="1"/>
    <col min="14607" max="14607" width="5.33203125" style="1" customWidth="1"/>
    <col min="14608" max="14842" width="9" style="1"/>
    <col min="14843" max="14843" width="3.33203125" style="1" customWidth="1"/>
    <col min="14844" max="14844" width="9" style="1"/>
    <col min="14845" max="14845" width="5.6640625" style="1" customWidth="1"/>
    <col min="14846" max="14846" width="3.33203125" style="1" customWidth="1"/>
    <col min="14847" max="14847" width="5.33203125" style="1" customWidth="1"/>
    <col min="14848" max="14848" width="2.88671875" style="1" customWidth="1"/>
    <col min="14849" max="14849" width="4.109375" style="1" customWidth="1"/>
    <col min="14850" max="14851" width="3.33203125" style="1" customWidth="1"/>
    <col min="14852" max="14852" width="2.6640625" style="1" customWidth="1"/>
    <col min="14853" max="14853" width="4.109375" style="1" customWidth="1"/>
    <col min="14854" max="14854" width="3.33203125" style="1" customWidth="1"/>
    <col min="14855" max="14855" width="4.109375" style="1" customWidth="1"/>
    <col min="14856" max="14856" width="3.33203125" style="1" customWidth="1"/>
    <col min="14857" max="14857" width="2" style="1" customWidth="1"/>
    <col min="14858" max="14858" width="9" style="1"/>
    <col min="14859" max="14859" width="7.6640625" style="1" customWidth="1"/>
    <col min="14860" max="14860" width="3.33203125" style="1" bestFit="1" customWidth="1"/>
    <col min="14861" max="14861" width="5.6640625" style="1" customWidth="1"/>
    <col min="14862" max="14862" width="9" style="1"/>
    <col min="14863" max="14863" width="5.33203125" style="1" customWidth="1"/>
    <col min="14864" max="15098" width="9" style="1"/>
    <col min="15099" max="15099" width="3.33203125" style="1" customWidth="1"/>
    <col min="15100" max="15100" width="9" style="1"/>
    <col min="15101" max="15101" width="5.6640625" style="1" customWidth="1"/>
    <col min="15102" max="15102" width="3.33203125" style="1" customWidth="1"/>
    <col min="15103" max="15103" width="5.33203125" style="1" customWidth="1"/>
    <col min="15104" max="15104" width="2.88671875" style="1" customWidth="1"/>
    <col min="15105" max="15105" width="4.109375" style="1" customWidth="1"/>
    <col min="15106" max="15107" width="3.33203125" style="1" customWidth="1"/>
    <col min="15108" max="15108" width="2.6640625" style="1" customWidth="1"/>
    <col min="15109" max="15109" width="4.109375" style="1" customWidth="1"/>
    <col min="15110" max="15110" width="3.33203125" style="1" customWidth="1"/>
    <col min="15111" max="15111" width="4.109375" style="1" customWidth="1"/>
    <col min="15112" max="15112" width="3.33203125" style="1" customWidth="1"/>
    <col min="15113" max="15113" width="2" style="1" customWidth="1"/>
    <col min="15114" max="15114" width="9" style="1"/>
    <col min="15115" max="15115" width="7.6640625" style="1" customWidth="1"/>
    <col min="15116" max="15116" width="3.33203125" style="1" bestFit="1" customWidth="1"/>
    <col min="15117" max="15117" width="5.6640625" style="1" customWidth="1"/>
    <col min="15118" max="15118" width="9" style="1"/>
    <col min="15119" max="15119" width="5.33203125" style="1" customWidth="1"/>
    <col min="15120" max="15354" width="9" style="1"/>
    <col min="15355" max="15355" width="3.33203125" style="1" customWidth="1"/>
    <col min="15356" max="15356" width="9" style="1"/>
    <col min="15357" max="15357" width="5.6640625" style="1" customWidth="1"/>
    <col min="15358" max="15358" width="3.33203125" style="1" customWidth="1"/>
    <col min="15359" max="15359" width="5.33203125" style="1" customWidth="1"/>
    <col min="15360" max="15360" width="2.88671875" style="1" customWidth="1"/>
    <col min="15361" max="15361" width="4.109375" style="1" customWidth="1"/>
    <col min="15362" max="15363" width="3.33203125" style="1" customWidth="1"/>
    <col min="15364" max="15364" width="2.6640625" style="1" customWidth="1"/>
    <col min="15365" max="15365" width="4.109375" style="1" customWidth="1"/>
    <col min="15366" max="15366" width="3.33203125" style="1" customWidth="1"/>
    <col min="15367" max="15367" width="4.109375" style="1" customWidth="1"/>
    <col min="15368" max="15368" width="3.33203125" style="1" customWidth="1"/>
    <col min="15369" max="15369" width="2" style="1" customWidth="1"/>
    <col min="15370" max="15370" width="9" style="1"/>
    <col min="15371" max="15371" width="7.6640625" style="1" customWidth="1"/>
    <col min="15372" max="15372" width="3.33203125" style="1" bestFit="1" customWidth="1"/>
    <col min="15373" max="15373" width="5.6640625" style="1" customWidth="1"/>
    <col min="15374" max="15374" width="9" style="1"/>
    <col min="15375" max="15375" width="5.33203125" style="1" customWidth="1"/>
    <col min="15376" max="15610" width="9" style="1"/>
    <col min="15611" max="15611" width="3.33203125" style="1" customWidth="1"/>
    <col min="15612" max="15612" width="9" style="1"/>
    <col min="15613" max="15613" width="5.6640625" style="1" customWidth="1"/>
    <col min="15614" max="15614" width="3.33203125" style="1" customWidth="1"/>
    <col min="15615" max="15615" width="5.33203125" style="1" customWidth="1"/>
    <col min="15616" max="15616" width="2.88671875" style="1" customWidth="1"/>
    <col min="15617" max="15617" width="4.109375" style="1" customWidth="1"/>
    <col min="15618" max="15619" width="3.33203125" style="1" customWidth="1"/>
    <col min="15620" max="15620" width="2.6640625" style="1" customWidth="1"/>
    <col min="15621" max="15621" width="4.109375" style="1" customWidth="1"/>
    <col min="15622" max="15622" width="3.33203125" style="1" customWidth="1"/>
    <col min="15623" max="15623" width="4.109375" style="1" customWidth="1"/>
    <col min="15624" max="15624" width="3.33203125" style="1" customWidth="1"/>
    <col min="15625" max="15625" width="2" style="1" customWidth="1"/>
    <col min="15626" max="15626" width="9" style="1"/>
    <col min="15627" max="15627" width="7.6640625" style="1" customWidth="1"/>
    <col min="15628" max="15628" width="3.33203125" style="1" bestFit="1" customWidth="1"/>
    <col min="15629" max="15629" width="5.6640625" style="1" customWidth="1"/>
    <col min="15630" max="15630" width="9" style="1"/>
    <col min="15631" max="15631" width="5.33203125" style="1" customWidth="1"/>
    <col min="15632" max="15866" width="9" style="1"/>
    <col min="15867" max="15867" width="3.33203125" style="1" customWidth="1"/>
    <col min="15868" max="15868" width="9" style="1"/>
    <col min="15869" max="15869" width="5.6640625" style="1" customWidth="1"/>
    <col min="15870" max="15870" width="3.33203125" style="1" customWidth="1"/>
    <col min="15871" max="15871" width="5.33203125" style="1" customWidth="1"/>
    <col min="15872" max="15872" width="2.88671875" style="1" customWidth="1"/>
    <col min="15873" max="15873" width="4.109375" style="1" customWidth="1"/>
    <col min="15874" max="15875" width="3.33203125" style="1" customWidth="1"/>
    <col min="15876" max="15876" width="2.6640625" style="1" customWidth="1"/>
    <col min="15877" max="15877" width="4.109375" style="1" customWidth="1"/>
    <col min="15878" max="15878" width="3.33203125" style="1" customWidth="1"/>
    <col min="15879" max="15879" width="4.109375" style="1" customWidth="1"/>
    <col min="15880" max="15880" width="3.33203125" style="1" customWidth="1"/>
    <col min="15881" max="15881" width="2" style="1" customWidth="1"/>
    <col min="15882" max="15882" width="9" style="1"/>
    <col min="15883" max="15883" width="7.6640625" style="1" customWidth="1"/>
    <col min="15884" max="15884" width="3.33203125" style="1" bestFit="1" customWidth="1"/>
    <col min="15885" max="15885" width="5.6640625" style="1" customWidth="1"/>
    <col min="15886" max="15886" width="9" style="1"/>
    <col min="15887" max="15887" width="5.33203125" style="1" customWidth="1"/>
    <col min="15888" max="16122" width="9" style="1"/>
    <col min="16123" max="16123" width="3.33203125" style="1" customWidth="1"/>
    <col min="16124" max="16124" width="9" style="1"/>
    <col min="16125" max="16125" width="5.6640625" style="1" customWidth="1"/>
    <col min="16126" max="16126" width="3.33203125" style="1" customWidth="1"/>
    <col min="16127" max="16127" width="5.33203125" style="1" customWidth="1"/>
    <col min="16128" max="16128" width="2.88671875" style="1" customWidth="1"/>
    <col min="16129" max="16129" width="4.109375" style="1" customWidth="1"/>
    <col min="16130" max="16131" width="3.33203125" style="1" customWidth="1"/>
    <col min="16132" max="16132" width="2.6640625" style="1" customWidth="1"/>
    <col min="16133" max="16133" width="4.109375" style="1" customWidth="1"/>
    <col min="16134" max="16134" width="3.33203125" style="1" customWidth="1"/>
    <col min="16135" max="16135" width="4.109375" style="1" customWidth="1"/>
    <col min="16136" max="16136" width="3.33203125" style="1" customWidth="1"/>
    <col min="16137" max="16137" width="2" style="1" customWidth="1"/>
    <col min="16138" max="16138" width="9" style="1"/>
    <col min="16139" max="16139" width="7.6640625" style="1" customWidth="1"/>
    <col min="16140" max="16140" width="3.33203125" style="1" bestFit="1" customWidth="1"/>
    <col min="16141" max="16141" width="5.6640625" style="1" customWidth="1"/>
    <col min="16142" max="16142" width="9" style="1"/>
    <col min="16143" max="16143" width="5.33203125" style="1" customWidth="1"/>
    <col min="16144" max="16384" width="9" style="1"/>
  </cols>
  <sheetData>
    <row r="1" spans="1:29" ht="13.5" customHeight="1" x14ac:dyDescent="0.2"/>
    <row r="2" spans="1:29" ht="13.5" customHeight="1" x14ac:dyDescent="0.2">
      <c r="A2" s="451"/>
      <c r="B2" s="523" t="s">
        <v>0</v>
      </c>
      <c r="C2" s="523"/>
      <c r="D2" s="523"/>
      <c r="E2" s="523"/>
      <c r="F2" s="523"/>
      <c r="G2" s="523"/>
      <c r="H2" s="523"/>
      <c r="I2" s="523"/>
      <c r="J2" s="523"/>
      <c r="K2" s="523"/>
      <c r="L2" s="523"/>
      <c r="M2" s="523"/>
      <c r="N2" s="523"/>
      <c r="O2" s="523"/>
      <c r="P2" s="523"/>
      <c r="Q2" s="523"/>
      <c r="R2" s="523"/>
      <c r="S2" s="55"/>
    </row>
    <row r="3" spans="1:29" ht="13.5" customHeight="1" x14ac:dyDescent="0.2">
      <c r="A3" s="451"/>
      <c r="B3" s="3"/>
      <c r="C3" s="522" t="s">
        <v>324</v>
      </c>
      <c r="D3" s="522"/>
      <c r="E3" s="522"/>
      <c r="F3" s="522"/>
      <c r="G3" s="522"/>
      <c r="H3" s="522"/>
      <c r="I3" s="522"/>
      <c r="J3" s="522"/>
      <c r="K3" s="522"/>
      <c r="L3" s="522"/>
      <c r="M3" s="522"/>
      <c r="N3" s="522"/>
      <c r="O3" s="522"/>
      <c r="P3" s="522"/>
      <c r="Q3" s="522"/>
      <c r="R3" s="522"/>
      <c r="S3" s="522"/>
    </row>
    <row r="4" spans="1:29" ht="13.5" customHeight="1" x14ac:dyDescent="0.2">
      <c r="A4" s="29" t="s">
        <v>1</v>
      </c>
      <c r="C4" s="522" t="s">
        <v>478</v>
      </c>
      <c r="D4" s="522"/>
      <c r="E4" s="522"/>
      <c r="F4" s="522"/>
      <c r="G4" s="522"/>
      <c r="H4" s="522"/>
      <c r="I4" s="522"/>
      <c r="J4" s="522"/>
      <c r="K4" s="522"/>
      <c r="L4" s="522"/>
      <c r="M4" s="522"/>
      <c r="N4" s="522"/>
      <c r="O4" s="522"/>
      <c r="P4" s="522"/>
      <c r="Q4" s="522"/>
      <c r="R4" s="522"/>
      <c r="S4" s="522"/>
      <c r="AB4" s="1" t="s">
        <v>319</v>
      </c>
    </row>
    <row r="5" spans="1:29" x14ac:dyDescent="0.2">
      <c r="D5" s="45" t="s">
        <v>259</v>
      </c>
      <c r="H5" s="110" t="str">
        <f>HYPERLINK("#手引き!$B$46","手引きへ戻る")</f>
        <v>手引きへ戻る</v>
      </c>
      <c r="T5" s="4"/>
      <c r="U5" s="1" t="s">
        <v>317</v>
      </c>
      <c r="AB5" s="1" t="s">
        <v>321</v>
      </c>
      <c r="AC5" s="1" t="s">
        <v>320</v>
      </c>
    </row>
    <row r="6" spans="1:29" ht="16.5" customHeight="1" thickBot="1" x14ac:dyDescent="0.25">
      <c r="A6" s="29" t="s">
        <v>2</v>
      </c>
      <c r="AB6" s="91" t="str">
        <f>HLOOKUP($AB$5,名前2!$C:$J,2,0)</f>
        <v>特定大型車</v>
      </c>
      <c r="AC6" s="91" t="str">
        <f>HLOOKUP($AC$5,名前2!$C:$J,2,0)</f>
        <v>道路運送車両法施行規則第２条に定める普通自動車（以下</v>
      </c>
    </row>
    <row r="7" spans="1:29" ht="16.5" customHeight="1" x14ac:dyDescent="0.2">
      <c r="B7" s="524"/>
      <c r="C7" s="526" t="s">
        <v>3</v>
      </c>
      <c r="D7" s="526"/>
      <c r="E7" s="526"/>
      <c r="F7" s="526"/>
      <c r="G7" s="526"/>
      <c r="H7" s="527"/>
      <c r="I7" s="528" t="s">
        <v>4</v>
      </c>
      <c r="J7" s="529"/>
      <c r="K7" s="529"/>
      <c r="L7" s="529"/>
      <c r="M7" s="529"/>
      <c r="N7" s="530"/>
      <c r="O7" s="5"/>
      <c r="P7" s="524"/>
      <c r="Q7" s="534" t="s">
        <v>5</v>
      </c>
      <c r="R7" s="535"/>
      <c r="S7" s="6"/>
      <c r="U7" s="524"/>
      <c r="V7" s="526" t="s">
        <v>5</v>
      </c>
      <c r="W7" s="535"/>
      <c r="X7" s="524"/>
      <c r="Y7" s="526" t="s">
        <v>5</v>
      </c>
      <c r="Z7" s="535"/>
      <c r="AB7" s="91"/>
      <c r="AC7" s="91" t="str">
        <f>HLOOKUP($AC$5,名前2!$C:$J,3,0)</f>
        <v>「普通自動車」という。）又は小型自動車（以下「小型</v>
      </c>
    </row>
    <row r="8" spans="1:29" ht="30" customHeight="1" thickBot="1" x14ac:dyDescent="0.25">
      <c r="A8" s="452" t="str">
        <f>IF(COUNTIF(A9:A14,"○")=0,"無","")</f>
        <v>無</v>
      </c>
      <c r="B8" s="525"/>
      <c r="C8" s="536" t="s">
        <v>27</v>
      </c>
      <c r="D8" s="537"/>
      <c r="E8" s="538" t="s">
        <v>6</v>
      </c>
      <c r="F8" s="539"/>
      <c r="G8" s="539"/>
      <c r="H8" s="537"/>
      <c r="I8" s="531"/>
      <c r="J8" s="532"/>
      <c r="K8" s="532"/>
      <c r="L8" s="532"/>
      <c r="M8" s="532"/>
      <c r="N8" s="533"/>
      <c r="O8" s="57" t="str">
        <f>IF(COUNTIF(O9:O14,"○")=0,"無","")</f>
        <v>無</v>
      </c>
      <c r="P8" s="525"/>
      <c r="Q8" s="540">
        <v>30</v>
      </c>
      <c r="R8" s="541"/>
      <c r="S8" s="20"/>
      <c r="U8" s="525"/>
      <c r="V8" s="540">
        <v>15</v>
      </c>
      <c r="W8" s="541"/>
      <c r="X8" s="525"/>
      <c r="Y8" s="540">
        <v>10</v>
      </c>
      <c r="Z8" s="541"/>
      <c r="AB8" s="91"/>
      <c r="AC8" s="91" t="str">
        <f>HLOOKUP($AC$5,名前2!$C:$J,4,0)</f>
        <v>自動車」という。）のうち乗車定員が９名以上のもの。</v>
      </c>
    </row>
    <row r="9" spans="1:29" ht="16.5" customHeight="1" thickTop="1" x14ac:dyDescent="0.2">
      <c r="A9" s="448"/>
      <c r="B9" s="8" t="s">
        <v>8</v>
      </c>
      <c r="C9" s="9">
        <v>650</v>
      </c>
      <c r="D9" s="10" t="s">
        <v>9</v>
      </c>
      <c r="E9" s="11">
        <v>181</v>
      </c>
      <c r="F9" s="12" t="s">
        <v>10</v>
      </c>
      <c r="G9" s="13">
        <v>100</v>
      </c>
      <c r="H9" s="10" t="s">
        <v>9</v>
      </c>
      <c r="I9" s="14">
        <f t="shared" ref="I9:I14" si="0">TRUNC(CEILING(ROUNDUP(E9*0.36,0),5)/60,0)</f>
        <v>1</v>
      </c>
      <c r="J9" s="15" t="s">
        <v>11</v>
      </c>
      <c r="K9" s="16">
        <f t="shared" ref="K9:K14" si="1">TRUNC(CEILING(ROUNDUP(E9*0.36,0),5)-I9*60,0)</f>
        <v>10</v>
      </c>
      <c r="L9" s="17" t="s">
        <v>12</v>
      </c>
      <c r="M9" s="13">
        <v>100</v>
      </c>
      <c r="N9" s="18" t="s">
        <v>9</v>
      </c>
      <c r="O9" s="185"/>
      <c r="P9" s="8" t="s">
        <v>8</v>
      </c>
      <c r="Q9" s="19">
        <v>4300</v>
      </c>
      <c r="R9" s="18" t="s">
        <v>9</v>
      </c>
      <c r="S9" s="20"/>
      <c r="U9" s="8" t="s">
        <v>8</v>
      </c>
      <c r="V9" s="19">
        <f>ROUNDDOWN($Q9*$V$8/$Q$8,-1)</f>
        <v>2150</v>
      </c>
      <c r="W9" s="113" t="s">
        <v>9</v>
      </c>
      <c r="X9" s="8" t="s">
        <v>8</v>
      </c>
      <c r="Y9" s="19">
        <f>ROUNDDOWN($Q9*$Y$8/$Q$8,-1)</f>
        <v>1430</v>
      </c>
      <c r="Z9" s="113" t="s">
        <v>9</v>
      </c>
      <c r="AB9" s="91" t="str">
        <f>HLOOKUP($AB$5,名前2!$C:$J,5,0)</f>
        <v>大　型　車</v>
      </c>
      <c r="AC9" s="91" t="str">
        <f>HLOOKUP($AC$5,名前2!$C:$J,5,0)</f>
        <v>以下のいずれかに該当する自動車。</v>
      </c>
    </row>
    <row r="10" spans="1:29" ht="16.5" customHeight="1" x14ac:dyDescent="0.2">
      <c r="A10" s="448"/>
      <c r="B10" s="21" t="s">
        <v>13</v>
      </c>
      <c r="C10" s="22">
        <f>C9-10</f>
        <v>640</v>
      </c>
      <c r="D10" s="23" t="s">
        <v>9</v>
      </c>
      <c r="E10" s="24">
        <f>ROUND(E$9/(C10/C$9),0)</f>
        <v>184</v>
      </c>
      <c r="F10" s="22" t="s">
        <v>10</v>
      </c>
      <c r="G10" s="22">
        <v>100</v>
      </c>
      <c r="H10" s="23" t="s">
        <v>9</v>
      </c>
      <c r="I10" s="14">
        <f t="shared" si="0"/>
        <v>1</v>
      </c>
      <c r="J10" s="15" t="s">
        <v>11</v>
      </c>
      <c r="K10" s="16">
        <f t="shared" si="1"/>
        <v>10</v>
      </c>
      <c r="L10" s="17" t="s">
        <v>12</v>
      </c>
      <c r="M10" s="22">
        <v>100</v>
      </c>
      <c r="N10" s="25" t="s">
        <v>9</v>
      </c>
      <c r="O10" s="185"/>
      <c r="P10" s="21" t="s">
        <v>13</v>
      </c>
      <c r="Q10" s="24">
        <f>ROUNDUP((C10/C$9)*Q$9,-1)</f>
        <v>4240</v>
      </c>
      <c r="R10" s="25" t="s">
        <v>9</v>
      </c>
      <c r="S10" s="20"/>
      <c r="U10" s="21" t="s">
        <v>13</v>
      </c>
      <c r="V10" s="24">
        <f t="shared" ref="V10:V14" si="2">ROUNDDOWN($Q10*$V$8/$Q$8,-1)</f>
        <v>2120</v>
      </c>
      <c r="W10" s="25" t="s">
        <v>9</v>
      </c>
      <c r="X10" s="21" t="s">
        <v>13</v>
      </c>
      <c r="Y10" s="24">
        <f t="shared" ref="Y10:Y14" si="3">ROUNDDOWN($Q10*$Y$8/$Q$8,-1)</f>
        <v>1410</v>
      </c>
      <c r="Z10" s="25" t="s">
        <v>9</v>
      </c>
      <c r="AB10" s="91"/>
      <c r="AC10" s="91" t="str">
        <f>HLOOKUP($AC$5,名前2!$C:$J,6,0)</f>
        <v>一　普通自動車のうち排気量が２リットルを超えるもので</v>
      </c>
    </row>
    <row r="11" spans="1:29" ht="16.5" customHeight="1" x14ac:dyDescent="0.2">
      <c r="A11" s="448"/>
      <c r="B11" s="21" t="s">
        <v>14</v>
      </c>
      <c r="C11" s="26">
        <f>C10-10</f>
        <v>630</v>
      </c>
      <c r="D11" s="27" t="s">
        <v>9</v>
      </c>
      <c r="E11" s="28">
        <f>ROUND(E$9/(C11/C$9),0)</f>
        <v>187</v>
      </c>
      <c r="F11" s="26" t="s">
        <v>10</v>
      </c>
      <c r="G11" s="22">
        <v>100</v>
      </c>
      <c r="H11" s="27" t="s">
        <v>9</v>
      </c>
      <c r="I11" s="29">
        <f t="shared" si="0"/>
        <v>1</v>
      </c>
      <c r="J11" s="30" t="s">
        <v>11</v>
      </c>
      <c r="K11" s="31">
        <f t="shared" si="1"/>
        <v>10</v>
      </c>
      <c r="L11" s="32" t="s">
        <v>12</v>
      </c>
      <c r="M11" s="22">
        <v>100</v>
      </c>
      <c r="N11" s="33" t="s">
        <v>9</v>
      </c>
      <c r="O11" s="185"/>
      <c r="P11" s="21" t="s">
        <v>15</v>
      </c>
      <c r="Q11" s="28">
        <f>ROUNDUP((C11/C$9)*Q$9,-1)</f>
        <v>4170</v>
      </c>
      <c r="R11" s="33" t="s">
        <v>9</v>
      </c>
      <c r="S11" s="20"/>
      <c r="U11" s="21" t="s">
        <v>14</v>
      </c>
      <c r="V11" s="24">
        <f t="shared" si="2"/>
        <v>2080</v>
      </c>
      <c r="W11" s="25" t="s">
        <v>9</v>
      </c>
      <c r="X11" s="21" t="s">
        <v>14</v>
      </c>
      <c r="Y11" s="24">
        <f t="shared" si="3"/>
        <v>1390</v>
      </c>
      <c r="Z11" s="25" t="s">
        <v>9</v>
      </c>
      <c r="AB11" s="91"/>
      <c r="AC11" s="91" t="str">
        <f>HLOOKUP($AC$5,名前2!$C:$J,7,0)</f>
        <v>あって乗車定員が７名以上のもの（特定大型車を除く。）。</v>
      </c>
    </row>
    <row r="12" spans="1:29" ht="16.5" customHeight="1" x14ac:dyDescent="0.2">
      <c r="A12" s="448"/>
      <c r="B12" s="21" t="s">
        <v>16</v>
      </c>
      <c r="C12" s="22">
        <f>C11-10</f>
        <v>620</v>
      </c>
      <c r="D12" s="23" t="s">
        <v>9</v>
      </c>
      <c r="E12" s="24">
        <f>E19</f>
        <v>200</v>
      </c>
      <c r="F12" s="22" t="s">
        <v>10</v>
      </c>
      <c r="G12" s="22">
        <v>100</v>
      </c>
      <c r="H12" s="23" t="s">
        <v>9</v>
      </c>
      <c r="I12" s="34">
        <f t="shared" si="0"/>
        <v>1</v>
      </c>
      <c r="J12" s="35" t="s">
        <v>11</v>
      </c>
      <c r="K12" s="36">
        <f t="shared" si="1"/>
        <v>15</v>
      </c>
      <c r="L12" s="37" t="s">
        <v>12</v>
      </c>
      <c r="M12" s="22">
        <v>100</v>
      </c>
      <c r="N12" s="25" t="s">
        <v>9</v>
      </c>
      <c r="O12" s="185"/>
      <c r="P12" s="21" t="s">
        <v>17</v>
      </c>
      <c r="Q12" s="24">
        <f>Q19</f>
        <v>3900</v>
      </c>
      <c r="R12" s="25" t="s">
        <v>9</v>
      </c>
      <c r="S12" s="20"/>
      <c r="U12" s="21" t="s">
        <v>16</v>
      </c>
      <c r="V12" s="24">
        <f t="shared" si="2"/>
        <v>1950</v>
      </c>
      <c r="W12" s="25" t="s">
        <v>9</v>
      </c>
      <c r="X12" s="21" t="s">
        <v>16</v>
      </c>
      <c r="Y12" s="24">
        <f t="shared" si="3"/>
        <v>1300</v>
      </c>
      <c r="Z12" s="25" t="s">
        <v>9</v>
      </c>
      <c r="AB12" s="191"/>
      <c r="AC12" s="91" t="str">
        <f>HLOOKUP($AC$5,名前2!$C:$J,8,0)</f>
        <v>二　普通自動車のうち排気量が２リットル（ハイブリッド</v>
      </c>
    </row>
    <row r="13" spans="1:29" ht="16.5" customHeight="1" x14ac:dyDescent="0.2">
      <c r="A13" s="448"/>
      <c r="B13" s="21" t="s">
        <v>18</v>
      </c>
      <c r="C13" s="22">
        <f>C12-10</f>
        <v>610</v>
      </c>
      <c r="D13" s="23" t="s">
        <v>9</v>
      </c>
      <c r="E13" s="24">
        <f>E20</f>
        <v>203</v>
      </c>
      <c r="F13" s="22" t="s">
        <v>10</v>
      </c>
      <c r="G13" s="22">
        <v>100</v>
      </c>
      <c r="H13" s="23" t="s">
        <v>9</v>
      </c>
      <c r="I13" s="34">
        <f t="shared" si="0"/>
        <v>1</v>
      </c>
      <c r="J13" s="35" t="s">
        <v>11</v>
      </c>
      <c r="K13" s="36">
        <f t="shared" si="1"/>
        <v>15</v>
      </c>
      <c r="L13" s="37" t="s">
        <v>12</v>
      </c>
      <c r="M13" s="22">
        <v>100</v>
      </c>
      <c r="N13" s="25" t="s">
        <v>9</v>
      </c>
      <c r="O13" s="185"/>
      <c r="P13" s="21" t="s">
        <v>18</v>
      </c>
      <c r="Q13" s="24">
        <f>Q20</f>
        <v>3840</v>
      </c>
      <c r="R13" s="25" t="s">
        <v>9</v>
      </c>
      <c r="S13" s="20"/>
      <c r="U13" s="21" t="s">
        <v>18</v>
      </c>
      <c r="V13" s="24">
        <f t="shared" si="2"/>
        <v>1920</v>
      </c>
      <c r="W13" s="25" t="s">
        <v>9</v>
      </c>
      <c r="X13" s="21" t="s">
        <v>18</v>
      </c>
      <c r="Y13" s="24">
        <f t="shared" si="3"/>
        <v>1280</v>
      </c>
      <c r="Z13" s="25" t="s">
        <v>9</v>
      </c>
      <c r="AB13" s="91"/>
      <c r="AC13" s="91" t="str">
        <f>HLOOKUP($AC$5,名前2!$C:$J,9,0)</f>
        <v>自動車にあっては２．５リットル。）を超えるもので</v>
      </c>
    </row>
    <row r="14" spans="1:29" ht="16.5" customHeight="1" thickBot="1" x14ac:dyDescent="0.25">
      <c r="A14" s="448"/>
      <c r="B14" s="38" t="s">
        <v>7</v>
      </c>
      <c r="C14" s="39">
        <f>C13-10</f>
        <v>600</v>
      </c>
      <c r="D14" s="40" t="s">
        <v>9</v>
      </c>
      <c r="E14" s="49">
        <f>E21</f>
        <v>231</v>
      </c>
      <c r="F14" s="41" t="s">
        <v>10</v>
      </c>
      <c r="G14" s="39">
        <v>100</v>
      </c>
      <c r="H14" s="40" t="s">
        <v>9</v>
      </c>
      <c r="I14" s="346">
        <f t="shared" si="0"/>
        <v>1</v>
      </c>
      <c r="J14" s="42" t="s">
        <v>11</v>
      </c>
      <c r="K14" s="348">
        <f t="shared" si="1"/>
        <v>25</v>
      </c>
      <c r="L14" s="43" t="s">
        <v>12</v>
      </c>
      <c r="M14" s="39">
        <v>100</v>
      </c>
      <c r="N14" s="44" t="s">
        <v>9</v>
      </c>
      <c r="O14" s="185"/>
      <c r="P14" s="38" t="s">
        <v>7</v>
      </c>
      <c r="Q14" s="49">
        <f>Q21</f>
        <v>3450</v>
      </c>
      <c r="R14" s="44" t="s">
        <v>9</v>
      </c>
      <c r="S14" s="20"/>
      <c r="U14" s="38" t="s">
        <v>7</v>
      </c>
      <c r="V14" s="49">
        <f t="shared" si="2"/>
        <v>1720</v>
      </c>
      <c r="W14" s="48" t="s">
        <v>9</v>
      </c>
      <c r="X14" s="50" t="s">
        <v>7</v>
      </c>
      <c r="Y14" s="49">
        <f t="shared" si="3"/>
        <v>1150</v>
      </c>
      <c r="Z14" s="48" t="s">
        <v>9</v>
      </c>
      <c r="AB14" s="91"/>
      <c r="AC14" s="91" t="str">
        <f>HLOOKUP($AC$5,名前2!$C:$J,10,0)</f>
        <v>あって乗車定員が６名以下のもの。</v>
      </c>
    </row>
    <row r="15" spans="1:29" ht="16.5" customHeight="1" x14ac:dyDescent="0.2">
      <c r="O15" s="56"/>
      <c r="AB15" s="91" t="str">
        <f>HLOOKUP($AB$5,名前2!$C:$J,11,0)</f>
        <v>普　通　車</v>
      </c>
      <c r="AC15" s="91" t="str">
        <f>HLOOKUP($AC$5,名前2!$C:$J,11,0)</f>
        <v>以下のいずれかに該当する自動車。</v>
      </c>
    </row>
    <row r="16" spans="1:29" ht="13.5" customHeight="1" thickBot="1" x14ac:dyDescent="0.25">
      <c r="A16" s="29" t="s">
        <v>19</v>
      </c>
      <c r="O16" s="56"/>
      <c r="S16" s="6"/>
      <c r="AB16" s="91"/>
      <c r="AC16" s="91" t="str">
        <f>HLOOKUP($AC$5,名前2!$C:$J,12,0)</f>
        <v>一　普通自動車又は小型自動車のうち特定大型車及び大型</v>
      </c>
    </row>
    <row r="17" spans="1:29" ht="16.5" customHeight="1" x14ac:dyDescent="0.2">
      <c r="A17" s="453" t="s">
        <v>112</v>
      </c>
      <c r="B17" s="524"/>
      <c r="C17" s="526" t="s">
        <v>3</v>
      </c>
      <c r="D17" s="526"/>
      <c r="E17" s="526"/>
      <c r="F17" s="526"/>
      <c r="G17" s="526"/>
      <c r="H17" s="527"/>
      <c r="I17" s="528" t="s">
        <v>4</v>
      </c>
      <c r="J17" s="529"/>
      <c r="K17" s="529"/>
      <c r="L17" s="529"/>
      <c r="M17" s="529"/>
      <c r="N17" s="530"/>
      <c r="O17" s="56" t="s">
        <v>112</v>
      </c>
      <c r="P17" s="524"/>
      <c r="Q17" s="534" t="s">
        <v>5</v>
      </c>
      <c r="R17" s="535"/>
      <c r="S17" s="7"/>
      <c r="U17" s="524"/>
      <c r="V17" s="526" t="s">
        <v>5</v>
      </c>
      <c r="W17" s="535"/>
      <c r="X17" s="524"/>
      <c r="Y17" s="526" t="s">
        <v>5</v>
      </c>
      <c r="Z17" s="535"/>
      <c r="AB17" s="91"/>
      <c r="AC17" s="91" t="str">
        <f>HLOOKUP($AC$5,名前2!$C:$J,13,0)</f>
        <v>車に該当する自動車以外のもの。</v>
      </c>
    </row>
    <row r="18" spans="1:29" ht="30" customHeight="1" thickBot="1" x14ac:dyDescent="0.25">
      <c r="A18" s="452" t="str">
        <f>IF(COUNTIF(A19:A23,"○")=0,"無","")</f>
        <v>無</v>
      </c>
      <c r="B18" s="525"/>
      <c r="C18" s="536" t="s">
        <v>27</v>
      </c>
      <c r="D18" s="537"/>
      <c r="E18" s="538" t="s">
        <v>6</v>
      </c>
      <c r="F18" s="539"/>
      <c r="G18" s="539"/>
      <c r="H18" s="537"/>
      <c r="I18" s="531"/>
      <c r="J18" s="532"/>
      <c r="K18" s="532"/>
      <c r="L18" s="532"/>
      <c r="M18" s="532"/>
      <c r="N18" s="533"/>
      <c r="O18" s="57" t="str">
        <f>IF(COUNTIF(O19:O23,"○")=0,"無","")</f>
        <v>無</v>
      </c>
      <c r="P18" s="525"/>
      <c r="Q18" s="540">
        <v>30</v>
      </c>
      <c r="R18" s="541"/>
      <c r="S18" s="20"/>
      <c r="U18" s="525"/>
      <c r="V18" s="540">
        <v>15</v>
      </c>
      <c r="W18" s="541"/>
      <c r="X18" s="525"/>
      <c r="Y18" s="540">
        <v>10</v>
      </c>
      <c r="Z18" s="541"/>
      <c r="AB18" s="91"/>
      <c r="AC18" s="91" t="str">
        <f>HLOOKUP($AC$5,名前2!$C:$J,14,0)</f>
        <v>二　道路運送車両法施行規則第２条に定める軽自動車（</v>
      </c>
    </row>
    <row r="19" spans="1:29" ht="16.5" customHeight="1" thickTop="1" x14ac:dyDescent="0.2">
      <c r="A19" s="448"/>
      <c r="B19" s="8" t="s">
        <v>8</v>
      </c>
      <c r="C19" s="9">
        <v>620</v>
      </c>
      <c r="D19" s="10" t="s">
        <v>9</v>
      </c>
      <c r="E19" s="11">
        <v>200</v>
      </c>
      <c r="F19" s="12" t="s">
        <v>10</v>
      </c>
      <c r="G19" s="13">
        <v>100</v>
      </c>
      <c r="H19" s="10" t="s">
        <v>9</v>
      </c>
      <c r="I19" s="14">
        <f t="shared" ref="I19:I23" si="4">TRUNC(CEILING(ROUNDUP(E19*0.36,0),5)/60,0)</f>
        <v>1</v>
      </c>
      <c r="J19" s="15" t="s">
        <v>11</v>
      </c>
      <c r="K19" s="16">
        <f t="shared" ref="K19:K23" si="5">TRUNC(CEILING(ROUNDUP(E19*0.36,0),5)-I19*60,0)</f>
        <v>15</v>
      </c>
      <c r="L19" s="17" t="s">
        <v>12</v>
      </c>
      <c r="M19" s="13">
        <v>100</v>
      </c>
      <c r="N19" s="18" t="s">
        <v>9</v>
      </c>
      <c r="O19" s="185"/>
      <c r="P19" s="8" t="s">
        <v>8</v>
      </c>
      <c r="Q19" s="19">
        <v>3900</v>
      </c>
      <c r="R19" s="18" t="s">
        <v>9</v>
      </c>
      <c r="S19" s="20"/>
      <c r="U19" s="8" t="s">
        <v>8</v>
      </c>
      <c r="V19" s="19">
        <f>ROUNDDOWN($Q19*$V$8/$Q$8,-1)</f>
        <v>1950</v>
      </c>
      <c r="W19" s="113" t="s">
        <v>9</v>
      </c>
      <c r="X19" s="8" t="s">
        <v>8</v>
      </c>
      <c r="Y19" s="19">
        <f>ROUNDDOWN($Q19*$Y$8/$Q$8,-1)</f>
        <v>1300</v>
      </c>
      <c r="Z19" s="113" t="s">
        <v>9</v>
      </c>
      <c r="AB19" s="91"/>
      <c r="AC19" s="91" t="str">
        <f>HLOOKUP($AC$5,名前2!$C:$J,15,0)</f>
        <v>以下「軽自動車」という。）のうち、内燃機関を搭載し</v>
      </c>
    </row>
    <row r="20" spans="1:29" ht="16.5" customHeight="1" x14ac:dyDescent="0.2">
      <c r="A20" s="448"/>
      <c r="B20" s="21" t="s">
        <v>13</v>
      </c>
      <c r="C20" s="22">
        <f>C19-10</f>
        <v>610</v>
      </c>
      <c r="D20" s="23" t="s">
        <v>9</v>
      </c>
      <c r="E20" s="24">
        <f>ROUND(E$19/(C20/C$19),0)</f>
        <v>203</v>
      </c>
      <c r="F20" s="22" t="s">
        <v>10</v>
      </c>
      <c r="G20" s="22">
        <v>100</v>
      </c>
      <c r="H20" s="23" t="s">
        <v>9</v>
      </c>
      <c r="I20" s="14">
        <f t="shared" si="4"/>
        <v>1</v>
      </c>
      <c r="J20" s="15" t="s">
        <v>11</v>
      </c>
      <c r="K20" s="16">
        <f t="shared" si="5"/>
        <v>15</v>
      </c>
      <c r="L20" s="17" t="s">
        <v>12</v>
      </c>
      <c r="M20" s="22">
        <v>100</v>
      </c>
      <c r="N20" s="25" t="s">
        <v>9</v>
      </c>
      <c r="O20" s="185"/>
      <c r="P20" s="21" t="s">
        <v>13</v>
      </c>
      <c r="Q20" s="24">
        <f>ROUNDUP((C20/C$19)*Q$19,-1)</f>
        <v>3840</v>
      </c>
      <c r="R20" s="25" t="s">
        <v>9</v>
      </c>
      <c r="S20" s="20"/>
      <c r="U20" s="21" t="s">
        <v>13</v>
      </c>
      <c r="V20" s="24">
        <f t="shared" ref="V20:V23" si="6">ROUNDDOWN($Q20*$V$8/$Q$8,-1)</f>
        <v>1920</v>
      </c>
      <c r="W20" s="25" t="s">
        <v>9</v>
      </c>
      <c r="X20" s="21" t="s">
        <v>13</v>
      </c>
      <c r="Y20" s="24">
        <f t="shared" ref="Y20:Y23" si="7">ROUNDDOWN($Q20*$Y$8/$Q$8,-1)</f>
        <v>1280</v>
      </c>
      <c r="Z20" s="25" t="s">
        <v>9</v>
      </c>
      <c r="AB20" s="91"/>
      <c r="AC20" s="91" t="str">
        <f>HLOOKUP($AC$5,名前2!$C:$J,16,0)</f>
        <v>ないもの又は福祉輸送サービスの用に供するものに限る。</v>
      </c>
    </row>
    <row r="21" spans="1:29" ht="16.5" customHeight="1" x14ac:dyDescent="0.2">
      <c r="A21" s="448"/>
      <c r="B21" s="21" t="s">
        <v>20</v>
      </c>
      <c r="C21" s="26">
        <f>C20-10</f>
        <v>600</v>
      </c>
      <c r="D21" s="27" t="s">
        <v>9</v>
      </c>
      <c r="E21" s="28">
        <f>E28</f>
        <v>231</v>
      </c>
      <c r="F21" s="26" t="s">
        <v>10</v>
      </c>
      <c r="G21" s="22">
        <v>100</v>
      </c>
      <c r="H21" s="27" t="s">
        <v>9</v>
      </c>
      <c r="I21" s="29">
        <f t="shared" si="4"/>
        <v>1</v>
      </c>
      <c r="J21" s="30" t="s">
        <v>11</v>
      </c>
      <c r="K21" s="31">
        <f t="shared" si="5"/>
        <v>25</v>
      </c>
      <c r="L21" s="32" t="s">
        <v>12</v>
      </c>
      <c r="M21" s="22">
        <v>100</v>
      </c>
      <c r="N21" s="33" t="s">
        <v>9</v>
      </c>
      <c r="O21" s="185"/>
      <c r="P21" s="21" t="s">
        <v>20</v>
      </c>
      <c r="Q21" s="28">
        <f>Q28</f>
        <v>3450</v>
      </c>
      <c r="R21" s="25" t="s">
        <v>9</v>
      </c>
      <c r="S21" s="20"/>
      <c r="U21" s="21" t="s">
        <v>14</v>
      </c>
      <c r="V21" s="24">
        <f t="shared" si="6"/>
        <v>1720</v>
      </c>
      <c r="W21" s="25" t="s">
        <v>9</v>
      </c>
      <c r="X21" s="21" t="s">
        <v>14</v>
      </c>
      <c r="Y21" s="24">
        <f t="shared" si="7"/>
        <v>1150</v>
      </c>
      <c r="Z21" s="25" t="s">
        <v>9</v>
      </c>
      <c r="AB21" s="91"/>
      <c r="AC21" s="91" t="str">
        <f>HLOOKUP($AC$5,名前2!$C:$J,17,0)</f>
        <v>ただし、「タクシー事業における軽自動車の活用について」</v>
      </c>
    </row>
    <row r="22" spans="1:29" ht="16.5" customHeight="1" x14ac:dyDescent="0.2">
      <c r="A22" s="448"/>
      <c r="B22" s="21" t="s">
        <v>21</v>
      </c>
      <c r="C22" s="22">
        <f>C21-10</f>
        <v>590</v>
      </c>
      <c r="D22" s="23" t="s">
        <v>9</v>
      </c>
      <c r="E22" s="24">
        <f>E29</f>
        <v>235</v>
      </c>
      <c r="F22" s="22" t="s">
        <v>10</v>
      </c>
      <c r="G22" s="22">
        <v>100</v>
      </c>
      <c r="H22" s="23" t="s">
        <v>9</v>
      </c>
      <c r="I22" s="34">
        <f t="shared" si="4"/>
        <v>1</v>
      </c>
      <c r="J22" s="35" t="s">
        <v>11</v>
      </c>
      <c r="K22" s="36">
        <f t="shared" si="5"/>
        <v>25</v>
      </c>
      <c r="L22" s="37" t="s">
        <v>12</v>
      </c>
      <c r="M22" s="22">
        <v>100</v>
      </c>
      <c r="N22" s="25" t="s">
        <v>9</v>
      </c>
      <c r="O22" s="185"/>
      <c r="P22" s="21" t="s">
        <v>22</v>
      </c>
      <c r="Q22" s="24">
        <f>Q29</f>
        <v>3400</v>
      </c>
      <c r="R22" s="25" t="s">
        <v>9</v>
      </c>
      <c r="S22" s="20"/>
      <c r="U22" s="21" t="s">
        <v>16</v>
      </c>
      <c r="V22" s="24">
        <f t="shared" si="6"/>
        <v>1700</v>
      </c>
      <c r="W22" s="25" t="s">
        <v>9</v>
      </c>
      <c r="X22" s="21" t="s">
        <v>16</v>
      </c>
      <c r="Y22" s="24">
        <f t="shared" si="7"/>
        <v>1130</v>
      </c>
      <c r="Z22" s="25" t="s">
        <v>9</v>
      </c>
      <c r="AB22" s="91"/>
      <c r="AC22" s="91" t="str">
        <f>HLOOKUP($AC$5,名前2!$C:$J,18,0)</f>
        <v>（令和８年６月１日付け国自旅第３７号）別紙１．に基</v>
      </c>
    </row>
    <row r="23" spans="1:29" ht="16.5" customHeight="1" thickBot="1" x14ac:dyDescent="0.25">
      <c r="A23" s="448"/>
      <c r="B23" s="50" t="s">
        <v>7</v>
      </c>
      <c r="C23" s="39">
        <f>C22-10</f>
        <v>580</v>
      </c>
      <c r="D23" s="345" t="s">
        <v>9</v>
      </c>
      <c r="E23" s="49">
        <f>E30</f>
        <v>239</v>
      </c>
      <c r="F23" s="39" t="s">
        <v>10</v>
      </c>
      <c r="G23" s="39">
        <v>100</v>
      </c>
      <c r="H23" s="345" t="s">
        <v>9</v>
      </c>
      <c r="I23" s="346">
        <f t="shared" si="4"/>
        <v>1</v>
      </c>
      <c r="J23" s="347" t="s">
        <v>11</v>
      </c>
      <c r="K23" s="348">
        <f t="shared" si="5"/>
        <v>30</v>
      </c>
      <c r="L23" s="349" t="s">
        <v>12</v>
      </c>
      <c r="M23" s="39">
        <v>100</v>
      </c>
      <c r="N23" s="48" t="s">
        <v>9</v>
      </c>
      <c r="O23" s="185"/>
      <c r="P23" s="38" t="s">
        <v>7</v>
      </c>
      <c r="Q23" s="49">
        <f>Q30</f>
        <v>3340</v>
      </c>
      <c r="R23" s="44" t="s">
        <v>9</v>
      </c>
      <c r="S23" s="20"/>
      <c r="U23" s="38" t="s">
        <v>7</v>
      </c>
      <c r="V23" s="49">
        <f t="shared" si="6"/>
        <v>1670</v>
      </c>
      <c r="W23" s="48" t="s">
        <v>9</v>
      </c>
      <c r="X23" s="50" t="s">
        <v>7</v>
      </c>
      <c r="Y23" s="49">
        <f t="shared" si="7"/>
        <v>1110</v>
      </c>
      <c r="Z23" s="48" t="s">
        <v>9</v>
      </c>
      <c r="AB23" s="91"/>
      <c r="AC23" s="91" t="str">
        <f>HLOOKUP($AC$5,名前2!$C:$J,19,0)</f>
        <v>づき近畿運輸局長が公示する地域においては、軽自動車と</v>
      </c>
    </row>
    <row r="24" spans="1:29" ht="16.5" customHeight="1" x14ac:dyDescent="0.2">
      <c r="O24" s="56"/>
      <c r="S24" s="6"/>
      <c r="AB24" s="91"/>
      <c r="AC24" s="91" t="str">
        <f>HLOOKUP($AC$5,名前2!$C:$J,20,0)</f>
        <v>する。</v>
      </c>
    </row>
    <row r="25" spans="1:29" ht="16.5" customHeight="1" thickBot="1" x14ac:dyDescent="0.25">
      <c r="A25" s="29" t="s">
        <v>23</v>
      </c>
      <c r="O25" s="56"/>
      <c r="S25" s="7"/>
      <c r="AB25" s="91" t="str">
        <f>HLOOKUP($AB$5,名前2!$C:$J,21,0)</f>
        <v>備　　　考　</v>
      </c>
      <c r="AC25" s="91" t="str">
        <f>HLOOKUP($AC$5,名前2!$C:$J,21,0)</f>
        <v>１　自動車検査証に記載されている諸元を基準とする。</v>
      </c>
    </row>
    <row r="26" spans="1:29" ht="16.5" customHeight="1" x14ac:dyDescent="0.2">
      <c r="A26" s="453" t="s">
        <v>112</v>
      </c>
      <c r="B26" s="524"/>
      <c r="C26" s="526" t="s">
        <v>3</v>
      </c>
      <c r="D26" s="526"/>
      <c r="E26" s="526"/>
      <c r="F26" s="526"/>
      <c r="G26" s="526"/>
      <c r="H26" s="527"/>
      <c r="I26" s="528" t="s">
        <v>4</v>
      </c>
      <c r="J26" s="529"/>
      <c r="K26" s="529"/>
      <c r="L26" s="529"/>
      <c r="M26" s="529"/>
      <c r="N26" s="530"/>
      <c r="O26" s="56" t="s">
        <v>112</v>
      </c>
      <c r="P26" s="524"/>
      <c r="Q26" s="534" t="s">
        <v>5</v>
      </c>
      <c r="R26" s="535"/>
      <c r="S26" s="20"/>
      <c r="U26" s="524"/>
      <c r="V26" s="526" t="s">
        <v>5</v>
      </c>
      <c r="W26" s="535"/>
      <c r="X26" s="524"/>
      <c r="Y26" s="526" t="s">
        <v>5</v>
      </c>
      <c r="Z26" s="535"/>
      <c r="AB26" s="91"/>
      <c r="AC26" s="91" t="str">
        <f>HLOOKUP($AC$5,名前2!$C:$J,22,0)</f>
        <v>２　車体の形状が患者輸送車、車いす移動車又は身体障害</v>
      </c>
    </row>
    <row r="27" spans="1:29" ht="30" customHeight="1" thickBot="1" x14ac:dyDescent="0.25">
      <c r="A27" s="452" t="str">
        <f>IF(COUNTIF(A28:A32,"○")=0,"無","")</f>
        <v>無</v>
      </c>
      <c r="B27" s="525"/>
      <c r="C27" s="536" t="s">
        <v>27</v>
      </c>
      <c r="D27" s="537"/>
      <c r="E27" s="538" t="s">
        <v>6</v>
      </c>
      <c r="F27" s="539"/>
      <c r="G27" s="539"/>
      <c r="H27" s="537"/>
      <c r="I27" s="531"/>
      <c r="J27" s="532"/>
      <c r="K27" s="532"/>
      <c r="L27" s="532"/>
      <c r="M27" s="532"/>
      <c r="N27" s="533"/>
      <c r="O27" s="57" t="str">
        <f>IF(COUNTIF(O28:O32,"○")=0,"無","")</f>
        <v>無</v>
      </c>
      <c r="P27" s="525"/>
      <c r="Q27" s="540">
        <v>30</v>
      </c>
      <c r="R27" s="541"/>
      <c r="S27" s="20"/>
      <c r="U27" s="525"/>
      <c r="V27" s="540">
        <v>15</v>
      </c>
      <c r="W27" s="541"/>
      <c r="X27" s="525"/>
      <c r="Y27" s="540">
        <v>10</v>
      </c>
      <c r="Z27" s="541"/>
      <c r="AB27" s="91"/>
      <c r="AC27" s="91" t="str">
        <f>HLOOKUP($AC$5,名前2!$C:$J,23,0)</f>
        <v>者輸送車である特種自動車については、上記の車種区分に</v>
      </c>
    </row>
    <row r="28" spans="1:29" ht="16.5" customHeight="1" thickTop="1" x14ac:dyDescent="0.2">
      <c r="A28" s="448"/>
      <c r="B28" s="8" t="s">
        <v>8</v>
      </c>
      <c r="C28" s="9">
        <v>600</v>
      </c>
      <c r="D28" s="10" t="s">
        <v>9</v>
      </c>
      <c r="E28" s="11">
        <v>231</v>
      </c>
      <c r="F28" s="12" t="s">
        <v>10</v>
      </c>
      <c r="G28" s="13">
        <v>100</v>
      </c>
      <c r="H28" s="10" t="s">
        <v>9</v>
      </c>
      <c r="I28" s="14">
        <f t="shared" ref="I28:I32" si="8">TRUNC(CEILING(ROUNDUP(E28*0.36,0),5)/60,0)</f>
        <v>1</v>
      </c>
      <c r="J28" s="15" t="s">
        <v>11</v>
      </c>
      <c r="K28" s="16">
        <f t="shared" ref="K28:K32" si="9">TRUNC(CEILING(ROUNDUP(E28*0.36,0),5)-I28*60,0)</f>
        <v>25</v>
      </c>
      <c r="L28" s="17" t="s">
        <v>12</v>
      </c>
      <c r="M28" s="13">
        <v>100</v>
      </c>
      <c r="N28" s="18" t="s">
        <v>9</v>
      </c>
      <c r="O28" s="185"/>
      <c r="P28" s="8" t="s">
        <v>8</v>
      </c>
      <c r="Q28" s="19">
        <v>3450</v>
      </c>
      <c r="R28" s="18" t="s">
        <v>9</v>
      </c>
      <c r="S28" s="20"/>
      <c r="U28" s="8" t="s">
        <v>8</v>
      </c>
      <c r="V28" s="19">
        <f>ROUNDDOWN($Q28*$V$8/$Q$8,-1)</f>
        <v>1720</v>
      </c>
      <c r="W28" s="113" t="s">
        <v>9</v>
      </c>
      <c r="X28" s="8" t="s">
        <v>8</v>
      </c>
      <c r="Y28" s="19">
        <f>ROUNDDOWN($Q28*$Y$8/$Q$8,-1)</f>
        <v>1150</v>
      </c>
      <c r="Z28" s="113" t="s">
        <v>9</v>
      </c>
      <c r="AB28" s="91"/>
      <c r="AC28" s="91" t="str">
        <f>HLOOKUP($AC$5,名前2!$C:$J,24,0)</f>
        <v>よらず、以下の区分を適用する。</v>
      </c>
    </row>
    <row r="29" spans="1:29" ht="16.5" customHeight="1" x14ac:dyDescent="0.2">
      <c r="A29" s="448"/>
      <c r="B29" s="21" t="s">
        <v>13</v>
      </c>
      <c r="C29" s="26">
        <f>C28-10</f>
        <v>590</v>
      </c>
      <c r="D29" s="27" t="s">
        <v>9</v>
      </c>
      <c r="E29" s="24">
        <f>ROUND(E$28/(C29/C$28),0)</f>
        <v>235</v>
      </c>
      <c r="F29" s="26" t="s">
        <v>10</v>
      </c>
      <c r="G29" s="26">
        <v>100</v>
      </c>
      <c r="H29" s="27" t="s">
        <v>9</v>
      </c>
      <c r="I29" s="14">
        <f t="shared" si="8"/>
        <v>1</v>
      </c>
      <c r="J29" s="15" t="s">
        <v>11</v>
      </c>
      <c r="K29" s="16">
        <f t="shared" si="9"/>
        <v>25</v>
      </c>
      <c r="L29" s="17" t="s">
        <v>12</v>
      </c>
      <c r="M29" s="26">
        <v>100</v>
      </c>
      <c r="N29" s="33" t="s">
        <v>9</v>
      </c>
      <c r="O29" s="185"/>
      <c r="P29" s="21" t="s">
        <v>13</v>
      </c>
      <c r="Q29" s="24">
        <f>ROUNDUP((C29/C$28)*Q$28,-1)</f>
        <v>3400</v>
      </c>
      <c r="R29" s="25" t="s">
        <v>9</v>
      </c>
      <c r="S29" s="20"/>
      <c r="U29" s="21" t="s">
        <v>13</v>
      </c>
      <c r="V29" s="24">
        <f t="shared" ref="V29:V32" si="10">ROUNDDOWN($Q29*$V$8/$Q$8,-1)</f>
        <v>1700</v>
      </c>
      <c r="W29" s="25" t="s">
        <v>9</v>
      </c>
      <c r="X29" s="21" t="s">
        <v>13</v>
      </c>
      <c r="Y29" s="24">
        <f t="shared" ref="Y29:Y32" si="11">ROUNDDOWN($Q29*$Y$8/$Q$8,-1)</f>
        <v>1130</v>
      </c>
      <c r="Z29" s="25" t="s">
        <v>9</v>
      </c>
      <c r="AB29" s="91"/>
      <c r="AC29" s="91" t="str">
        <f>HLOOKUP($AC$5,名前2!$C:$J,25,0)</f>
        <v>一　次号に掲げる自動車以外の自動車</v>
      </c>
    </row>
    <row r="30" spans="1:29" ht="16.5" customHeight="1" x14ac:dyDescent="0.2">
      <c r="A30" s="448"/>
      <c r="B30" s="21" t="s">
        <v>24</v>
      </c>
      <c r="C30" s="26">
        <f>C29-10</f>
        <v>580</v>
      </c>
      <c r="D30" s="27" t="s">
        <v>9</v>
      </c>
      <c r="E30" s="28">
        <f>ROUND(E$28/(C30/C$28),0)</f>
        <v>239</v>
      </c>
      <c r="F30" s="26" t="s">
        <v>10</v>
      </c>
      <c r="G30" s="26">
        <v>100</v>
      </c>
      <c r="H30" s="27" t="s">
        <v>9</v>
      </c>
      <c r="I30" s="29">
        <f t="shared" si="8"/>
        <v>1</v>
      </c>
      <c r="J30" s="30" t="s">
        <v>11</v>
      </c>
      <c r="K30" s="31">
        <f t="shared" si="9"/>
        <v>30</v>
      </c>
      <c r="L30" s="32" t="s">
        <v>12</v>
      </c>
      <c r="M30" s="26">
        <v>100</v>
      </c>
      <c r="N30" s="33" t="s">
        <v>9</v>
      </c>
      <c r="O30" s="185"/>
      <c r="P30" s="21" t="s">
        <v>25</v>
      </c>
      <c r="Q30" s="28">
        <f>ROUNDUP((C30/C$28)*Q$28,-1)</f>
        <v>3340</v>
      </c>
      <c r="R30" s="33" t="s">
        <v>9</v>
      </c>
      <c r="S30" s="20"/>
      <c r="U30" s="21" t="s">
        <v>14</v>
      </c>
      <c r="V30" s="24">
        <f t="shared" si="10"/>
        <v>1670</v>
      </c>
      <c r="W30" s="25" t="s">
        <v>9</v>
      </c>
      <c r="X30" s="21" t="s">
        <v>14</v>
      </c>
      <c r="Y30" s="24">
        <f t="shared" si="11"/>
        <v>1110</v>
      </c>
      <c r="Z30" s="25" t="s">
        <v>9</v>
      </c>
      <c r="AB30" s="91"/>
      <c r="AC30" s="91" t="str">
        <f>HLOOKUP($AC$5,名前2!$C:$J,26,0)</f>
        <v>ア　乗車定員が７名以上のもの　大型車</v>
      </c>
    </row>
    <row r="31" spans="1:29" ht="16.5" customHeight="1" x14ac:dyDescent="0.2">
      <c r="A31" s="448"/>
      <c r="B31" s="21" t="s">
        <v>22</v>
      </c>
      <c r="C31" s="22">
        <f>C30-10</f>
        <v>570</v>
      </c>
      <c r="D31" s="23" t="s">
        <v>9</v>
      </c>
      <c r="E31" s="24">
        <f>ROUND(E$28/(C31/C$28),0)</f>
        <v>243</v>
      </c>
      <c r="F31" s="22" t="s">
        <v>10</v>
      </c>
      <c r="G31" s="26">
        <v>100</v>
      </c>
      <c r="H31" s="23" t="s">
        <v>9</v>
      </c>
      <c r="I31" s="34">
        <f t="shared" si="8"/>
        <v>1</v>
      </c>
      <c r="J31" s="35" t="s">
        <v>11</v>
      </c>
      <c r="K31" s="36">
        <f t="shared" si="9"/>
        <v>30</v>
      </c>
      <c r="L31" s="37" t="s">
        <v>12</v>
      </c>
      <c r="M31" s="26">
        <v>100</v>
      </c>
      <c r="N31" s="25" t="s">
        <v>9</v>
      </c>
      <c r="O31" s="185"/>
      <c r="P31" s="21" t="s">
        <v>22</v>
      </c>
      <c r="Q31" s="24">
        <f>ROUNDUP((C31/C$28)*Q$28,-1)</f>
        <v>3280</v>
      </c>
      <c r="R31" s="25" t="s">
        <v>9</v>
      </c>
      <c r="S31" s="20"/>
      <c r="U31" s="21" t="s">
        <v>16</v>
      </c>
      <c r="V31" s="24">
        <f t="shared" si="10"/>
        <v>1640</v>
      </c>
      <c r="W31" s="25" t="s">
        <v>9</v>
      </c>
      <c r="X31" s="21" t="s">
        <v>16</v>
      </c>
      <c r="Y31" s="24">
        <f t="shared" si="11"/>
        <v>1090</v>
      </c>
      <c r="Z31" s="25" t="s">
        <v>9</v>
      </c>
      <c r="AB31" s="91"/>
      <c r="AC31" s="91" t="str">
        <f>HLOOKUP($AC$5,名前2!$C:$J,27,0)</f>
        <v>イ　乗車定員が６名以下のもの　普通車</v>
      </c>
    </row>
    <row r="32" spans="1:29" ht="16.5" customHeight="1" thickBot="1" x14ac:dyDescent="0.25">
      <c r="A32" s="448"/>
      <c r="B32" s="50" t="s">
        <v>7</v>
      </c>
      <c r="C32" s="39">
        <f>C31-10</f>
        <v>560</v>
      </c>
      <c r="D32" s="345" t="s">
        <v>9</v>
      </c>
      <c r="E32" s="49">
        <f t="shared" ref="E32" si="12">ROUND(E$28/(C32/C$28),0)</f>
        <v>248</v>
      </c>
      <c r="F32" s="39" t="s">
        <v>10</v>
      </c>
      <c r="G32" s="39">
        <v>100</v>
      </c>
      <c r="H32" s="345" t="s">
        <v>9</v>
      </c>
      <c r="I32" s="346">
        <f t="shared" si="8"/>
        <v>1</v>
      </c>
      <c r="J32" s="347" t="s">
        <v>11</v>
      </c>
      <c r="K32" s="348">
        <f t="shared" si="9"/>
        <v>30</v>
      </c>
      <c r="L32" s="349" t="s">
        <v>12</v>
      </c>
      <c r="M32" s="39">
        <v>100</v>
      </c>
      <c r="N32" s="48" t="s">
        <v>9</v>
      </c>
      <c r="O32" s="185"/>
      <c r="P32" s="50" t="s">
        <v>7</v>
      </c>
      <c r="Q32" s="49">
        <f t="shared" ref="Q32" si="13">ROUNDUP((C32/C$28)*Q$28,-1)</f>
        <v>3220</v>
      </c>
      <c r="R32" s="48" t="s">
        <v>9</v>
      </c>
      <c r="S32" s="20"/>
      <c r="U32" s="38" t="s">
        <v>7</v>
      </c>
      <c r="V32" s="49">
        <f t="shared" si="10"/>
        <v>1610</v>
      </c>
      <c r="W32" s="48" t="s">
        <v>9</v>
      </c>
      <c r="X32" s="50" t="s">
        <v>7</v>
      </c>
      <c r="Y32" s="49">
        <f t="shared" si="11"/>
        <v>1070</v>
      </c>
      <c r="Z32" s="48" t="s">
        <v>9</v>
      </c>
      <c r="AB32" s="91"/>
      <c r="AC32" s="91" t="str">
        <f>HLOOKUP($AC$5,名前2!$C:$J,28,0)</f>
        <v>二　専ら旅客を寝台に乗せて運行することを目的とする</v>
      </c>
    </row>
    <row r="33" spans="1:29" ht="16.5" customHeight="1" x14ac:dyDescent="0.2">
      <c r="AB33" s="91"/>
      <c r="AC33" s="91" t="str">
        <f>HLOOKUP($AC$5,名前2!$C:$J,29,0)</f>
        <v>自動車</v>
      </c>
    </row>
    <row r="34" spans="1:29" ht="16.5" customHeight="1" x14ac:dyDescent="0.2">
      <c r="A34" s="454"/>
      <c r="B34" s="45"/>
      <c r="AB34" s="91"/>
      <c r="AC34" s="91" t="str">
        <f>HLOOKUP($AC$5,名前2!$C:$J,30,0)</f>
        <v>ア　普通自動車　普通自動車</v>
      </c>
    </row>
    <row r="35" spans="1:29" ht="16.5" customHeight="1" x14ac:dyDescent="0.2">
      <c r="B35" s="45" t="s">
        <v>259</v>
      </c>
      <c r="C35" s="110" t="str">
        <f>HYPERLINK("#手引き!B46","手引きへ戻る")</f>
        <v>手引きへ戻る</v>
      </c>
      <c r="AB35" s="91"/>
      <c r="AC35" s="91" t="str">
        <f>IF(HLOOKUP($AC$5,名前2!$C:$J,31,0)=0,"",HLOOKUP($AC$5,名前2!$C:$J,31,0))</f>
        <v>イ　小型自動車　小型自動車</v>
      </c>
    </row>
    <row r="36" spans="1:29" ht="16.5" customHeight="1" x14ac:dyDescent="0.2">
      <c r="A36" s="454"/>
      <c r="B36" s="46"/>
      <c r="AB36" s="91"/>
      <c r="AC36" s="91" t="str">
        <f>IF(HLOOKUP($AC$5,名前2!$C:$J,32,0)=0,"",HLOOKUP($AC$5,名前2!$C:$J,32,0))</f>
        <v>３　上記の車種区分において、ハイブリッド自動車とは、</v>
      </c>
    </row>
    <row r="37" spans="1:29" ht="16.5" customHeight="1" x14ac:dyDescent="0.2">
      <c r="AB37" s="91"/>
      <c r="AC37" s="91" t="str">
        <f>IF(HLOOKUP($AC$5,名前2!$C:$J,33,0)=0,"",HLOOKUP($AC$5,名前2!$C:$J,33,0))</f>
        <v>内燃機関を搭載し、併せて電気又は蓄圧器に蓄えられた</v>
      </c>
    </row>
    <row r="38" spans="1:29" ht="16.5" customHeight="1" x14ac:dyDescent="0.2">
      <c r="A38" s="455"/>
      <c r="B38" s="47"/>
      <c r="AB38" s="91"/>
      <c r="AC38" s="91" t="str">
        <f>IF(HLOOKUP($AC$5,名前2!$C:$J,34,0)=0,"",HLOOKUP($AC$5,名前2!$C:$J,34,0))</f>
        <v>圧力を動力源として用いる自動車をいう。</v>
      </c>
    </row>
    <row r="39" spans="1:29" ht="16.5" customHeight="1" x14ac:dyDescent="0.2">
      <c r="A39" s="455"/>
      <c r="B39" s="47"/>
      <c r="AB39" s="91"/>
      <c r="AC39" s="91" t="str">
        <f>IF(HLOOKUP($AC$5,名前2!$C:$J,35,0)=0,"",HLOOKUP($AC$5,名前2!$C:$J,35,0))</f>
        <v/>
      </c>
    </row>
    <row r="40" spans="1:29" ht="13.5" customHeight="1" x14ac:dyDescent="0.2">
      <c r="A40" s="454"/>
      <c r="B40" s="47"/>
      <c r="AB40" s="91"/>
      <c r="AC40" s="91" t="str">
        <f>IF(HLOOKUP($AC$5,名前2!$C:$J,36,0)=0,"",HLOOKUP($AC$5,名前2!$C:$J,36,0))</f>
        <v/>
      </c>
    </row>
    <row r="41" spans="1:29" ht="13.5" customHeight="1" x14ac:dyDescent="0.2">
      <c r="A41" s="454"/>
      <c r="B41" s="47"/>
      <c r="AB41" s="91"/>
      <c r="AC41" s="91" t="str">
        <f>IF(HLOOKUP($AC$5,名前2!$C:$J,37,0)=0,"",HLOOKUP($AC$5,名前2!$C:$J,37,0))</f>
        <v/>
      </c>
    </row>
    <row r="42" spans="1:29" ht="13.5" customHeight="1" x14ac:dyDescent="0.2">
      <c r="AB42" s="91"/>
      <c r="AC42" s="91" t="str">
        <f>IF(HLOOKUP($AC$5,名前2!$C:$J,38,0)=0,"",HLOOKUP($AC$5,名前2!$C:$J,38,0))</f>
        <v/>
      </c>
    </row>
    <row r="43" spans="1:29" ht="13.5" customHeight="1" x14ac:dyDescent="0.2">
      <c r="AB43" s="91"/>
      <c r="AC43" s="91" t="str">
        <f>IF(HLOOKUP($AC$5,名前2!$C:$J,39,0)=0,"",HLOOKUP($AC$5,名前2!$C:$J,39,0))</f>
        <v/>
      </c>
    </row>
    <row r="44" spans="1:29" x14ac:dyDescent="0.2">
      <c r="AB44" s="91"/>
      <c r="AC44" s="91" t="str">
        <f>IF(HLOOKUP($AC$5,名前2!$C:$J,40,0)=0,"",HLOOKUP($AC$5,名前2!$C:$J,40,0))</f>
        <v/>
      </c>
    </row>
    <row r="45" spans="1:29" ht="13.5" customHeight="1" x14ac:dyDescent="0.2">
      <c r="AB45" s="91"/>
    </row>
    <row r="46" spans="1:29" x14ac:dyDescent="0.2">
      <c r="AB46" s="91"/>
    </row>
  </sheetData>
  <sheetProtection algorithmName="SHA-512" hashValue="hbxJMkFYfRPoW30Kq4l+h1iC8WgTMiu72NFB1cwFhHMWlIAfoHhRIB1q7V8+ubm8Z1hdC1vUiLHVRI4q/lvuGQ==" saltValue="yz+3ml9AjU9pYwe7+57pAw==" spinCount="100000" sheet="1" objects="1" scenarios="1"/>
  <mergeCells count="45">
    <mergeCell ref="U26:U27"/>
    <mergeCell ref="V26:W26"/>
    <mergeCell ref="X26:X27"/>
    <mergeCell ref="Y26:Z26"/>
    <mergeCell ref="V27:W27"/>
    <mergeCell ref="Y27:Z27"/>
    <mergeCell ref="U17:U18"/>
    <mergeCell ref="V17:W17"/>
    <mergeCell ref="X17:X18"/>
    <mergeCell ref="Y17:Z17"/>
    <mergeCell ref="V18:W18"/>
    <mergeCell ref="Y18:Z18"/>
    <mergeCell ref="U7:U8"/>
    <mergeCell ref="V7:W7"/>
    <mergeCell ref="X7:X8"/>
    <mergeCell ref="Y7:Z7"/>
    <mergeCell ref="V8:W8"/>
    <mergeCell ref="Y8:Z8"/>
    <mergeCell ref="B26:B27"/>
    <mergeCell ref="C26:H26"/>
    <mergeCell ref="I26:N27"/>
    <mergeCell ref="P26:P27"/>
    <mergeCell ref="Q26:R26"/>
    <mergeCell ref="C27:D27"/>
    <mergeCell ref="E27:H27"/>
    <mergeCell ref="Q27:R27"/>
    <mergeCell ref="B17:B18"/>
    <mergeCell ref="C17:H17"/>
    <mergeCell ref="I17:N18"/>
    <mergeCell ref="P17:P18"/>
    <mergeCell ref="Q17:R17"/>
    <mergeCell ref="C18:D18"/>
    <mergeCell ref="E18:H18"/>
    <mergeCell ref="Q18:R18"/>
    <mergeCell ref="C4:S4"/>
    <mergeCell ref="C3:S3"/>
    <mergeCell ref="B2:R2"/>
    <mergeCell ref="B7:B8"/>
    <mergeCell ref="C7:H7"/>
    <mergeCell ref="I7:N8"/>
    <mergeCell ref="P7:P8"/>
    <mergeCell ref="Q7:R7"/>
    <mergeCell ref="C8:D8"/>
    <mergeCell ref="E8:H8"/>
    <mergeCell ref="Q8:R8"/>
  </mergeCells>
  <phoneticPr fontId="2"/>
  <conditionalFormatting sqref="A9:A14 O9:O14">
    <cfRule type="expression" dxfId="41" priority="133">
      <formula>COUNTIF(A$9:A$14,"○")=1</formula>
    </cfRule>
  </conditionalFormatting>
  <conditionalFormatting sqref="A19:A23 O19:O23">
    <cfRule type="expression" dxfId="40" priority="134">
      <formula>COUNTIF(A$19:A$23,"○")=1</formula>
    </cfRule>
  </conditionalFormatting>
  <conditionalFormatting sqref="A28:A32 O28:O32">
    <cfRule type="expression" dxfId="39" priority="135">
      <formula>COUNTIF(A$28:A$32,"○")=1</formula>
    </cfRule>
  </conditionalFormatting>
  <pageMargins left="0.78740157480314965" right="0.39370078740157483" top="0.59055118110236227" bottom="0.39370078740157483" header="0.51181102362204722" footer="0.51181102362204722"/>
  <pageSetup paperSize="9" orientation="portrait" r:id="rId1"/>
  <headerFooter alignWithMargins="0"/>
  <rowBreaks count="1" manualBreakCount="1">
    <brk id="40" max="3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名前2!$B$1:$B$2</xm:f>
          </x14:formula1>
          <xm:sqref>O9:O14 A9:A14 O19:O23 A19:A23 O28:O32 A28:A32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C51"/>
  <sheetViews>
    <sheetView view="pageBreakPreview" zoomScaleNormal="100" zoomScaleSheetLayoutView="100" workbookViewId="0">
      <selection activeCell="AB23" sqref="AB23"/>
    </sheetView>
  </sheetViews>
  <sheetFormatPr defaultRowHeight="13.2" x14ac:dyDescent="0.2"/>
  <cols>
    <col min="1" max="1" width="4.2187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5.21875" style="1" bestFit="1" customWidth="1"/>
    <col min="16" max="16" width="9" style="1"/>
    <col min="17" max="17" width="7.6640625" style="1" customWidth="1"/>
    <col min="18" max="18" width="3.33203125" style="1" customWidth="1"/>
    <col min="19" max="19" width="5.6640625" style="1" customWidth="1"/>
    <col min="20" max="20" width="9" style="1" customWidth="1"/>
    <col min="21"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4" width="9" style="1" customWidth="1"/>
    <col min="45" max="255" width="9" style="1"/>
    <col min="256" max="256" width="3.33203125" style="1" customWidth="1"/>
    <col min="257" max="257" width="9" style="1"/>
    <col min="258" max="258" width="5.6640625" style="1" customWidth="1"/>
    <col min="259" max="259" width="3.33203125" style="1" customWidth="1"/>
    <col min="260" max="260" width="5.33203125" style="1" customWidth="1"/>
    <col min="261" max="261" width="2.88671875" style="1" customWidth="1"/>
    <col min="262" max="262" width="4.109375" style="1" customWidth="1"/>
    <col min="263" max="264" width="3.33203125" style="1" customWidth="1"/>
    <col min="265" max="265" width="2.6640625" style="1" customWidth="1"/>
    <col min="266" max="266" width="4.109375" style="1" customWidth="1"/>
    <col min="267" max="267" width="3.33203125" style="1" customWidth="1"/>
    <col min="268" max="268" width="4.109375" style="1" customWidth="1"/>
    <col min="269" max="269" width="3.33203125" style="1" customWidth="1"/>
    <col min="270" max="270" width="2" style="1" customWidth="1"/>
    <col min="271" max="271" width="9" style="1"/>
    <col min="272" max="272" width="7.6640625" style="1" customWidth="1"/>
    <col min="273" max="273" width="3.33203125" style="1" customWidth="1"/>
    <col min="274" max="274" width="5.6640625" style="1" customWidth="1"/>
    <col min="275" max="275" width="9" style="1" customWidth="1"/>
    <col min="276" max="276" width="5.33203125" style="1" customWidth="1"/>
    <col min="277" max="511" width="9" style="1"/>
    <col min="512" max="512" width="3.33203125" style="1" customWidth="1"/>
    <col min="513" max="513" width="9" style="1"/>
    <col min="514" max="514" width="5.6640625" style="1" customWidth="1"/>
    <col min="515" max="515" width="3.33203125" style="1" customWidth="1"/>
    <col min="516" max="516" width="5.33203125" style="1" customWidth="1"/>
    <col min="517" max="517" width="2.88671875" style="1" customWidth="1"/>
    <col min="518" max="518" width="4.109375" style="1" customWidth="1"/>
    <col min="519" max="520" width="3.33203125" style="1" customWidth="1"/>
    <col min="521" max="521" width="2.6640625" style="1" customWidth="1"/>
    <col min="522" max="522" width="4.109375" style="1" customWidth="1"/>
    <col min="523" max="523" width="3.33203125" style="1" customWidth="1"/>
    <col min="524" max="524" width="4.109375" style="1" customWidth="1"/>
    <col min="525" max="525" width="3.33203125" style="1" customWidth="1"/>
    <col min="526" max="526" width="2" style="1" customWidth="1"/>
    <col min="527" max="527" width="9" style="1"/>
    <col min="528" max="528" width="7.6640625" style="1" customWidth="1"/>
    <col min="529" max="529" width="3.33203125" style="1" customWidth="1"/>
    <col min="530" max="530" width="5.6640625" style="1" customWidth="1"/>
    <col min="531" max="531" width="9" style="1" customWidth="1"/>
    <col min="532" max="532" width="5.33203125" style="1" customWidth="1"/>
    <col min="533" max="767" width="9" style="1"/>
    <col min="768" max="768" width="3.33203125" style="1" customWidth="1"/>
    <col min="769" max="769" width="9" style="1"/>
    <col min="770" max="770" width="5.6640625" style="1" customWidth="1"/>
    <col min="771" max="771" width="3.33203125" style="1" customWidth="1"/>
    <col min="772" max="772" width="5.33203125" style="1" customWidth="1"/>
    <col min="773" max="773" width="2.88671875" style="1" customWidth="1"/>
    <col min="774" max="774" width="4.109375" style="1" customWidth="1"/>
    <col min="775" max="776" width="3.33203125" style="1" customWidth="1"/>
    <col min="777" max="777" width="2.6640625" style="1" customWidth="1"/>
    <col min="778" max="778" width="4.109375" style="1" customWidth="1"/>
    <col min="779" max="779" width="3.33203125" style="1" customWidth="1"/>
    <col min="780" max="780" width="4.109375" style="1" customWidth="1"/>
    <col min="781" max="781" width="3.33203125" style="1" customWidth="1"/>
    <col min="782" max="782" width="2" style="1" customWidth="1"/>
    <col min="783" max="783" width="9" style="1"/>
    <col min="784" max="784" width="7.6640625" style="1" customWidth="1"/>
    <col min="785" max="785" width="3.33203125" style="1" customWidth="1"/>
    <col min="786" max="786" width="5.6640625" style="1" customWidth="1"/>
    <col min="787" max="787" width="9" style="1" customWidth="1"/>
    <col min="788" max="788" width="5.33203125" style="1" customWidth="1"/>
    <col min="789" max="1023" width="9" style="1"/>
    <col min="1024" max="1024" width="3.33203125" style="1" customWidth="1"/>
    <col min="1025" max="1025" width="9" style="1"/>
    <col min="1026" max="1026" width="5.6640625" style="1" customWidth="1"/>
    <col min="1027" max="1027" width="3.33203125" style="1" customWidth="1"/>
    <col min="1028" max="1028" width="5.33203125" style="1" customWidth="1"/>
    <col min="1029" max="1029" width="2.88671875" style="1" customWidth="1"/>
    <col min="1030" max="1030" width="4.109375" style="1" customWidth="1"/>
    <col min="1031" max="1032" width="3.33203125" style="1" customWidth="1"/>
    <col min="1033" max="1033" width="2.6640625" style="1" customWidth="1"/>
    <col min="1034" max="1034" width="4.109375" style="1" customWidth="1"/>
    <col min="1035" max="1035" width="3.33203125" style="1" customWidth="1"/>
    <col min="1036" max="1036" width="4.109375" style="1" customWidth="1"/>
    <col min="1037" max="1037" width="3.33203125" style="1" customWidth="1"/>
    <col min="1038" max="1038" width="2" style="1" customWidth="1"/>
    <col min="1039" max="1039" width="9" style="1"/>
    <col min="1040" max="1040" width="7.6640625" style="1" customWidth="1"/>
    <col min="1041" max="1041" width="3.33203125" style="1" customWidth="1"/>
    <col min="1042" max="1042" width="5.6640625" style="1" customWidth="1"/>
    <col min="1043" max="1043" width="9" style="1" customWidth="1"/>
    <col min="1044" max="1044" width="5.33203125" style="1" customWidth="1"/>
    <col min="1045" max="1279" width="9" style="1"/>
    <col min="1280" max="1280" width="3.33203125" style="1" customWidth="1"/>
    <col min="1281" max="1281" width="9" style="1"/>
    <col min="1282" max="1282" width="5.6640625" style="1" customWidth="1"/>
    <col min="1283" max="1283" width="3.33203125" style="1" customWidth="1"/>
    <col min="1284" max="1284" width="5.33203125" style="1" customWidth="1"/>
    <col min="1285" max="1285" width="2.88671875" style="1" customWidth="1"/>
    <col min="1286" max="1286" width="4.109375" style="1" customWidth="1"/>
    <col min="1287" max="1288" width="3.33203125" style="1" customWidth="1"/>
    <col min="1289" max="1289" width="2.6640625" style="1" customWidth="1"/>
    <col min="1290" max="1290" width="4.109375" style="1" customWidth="1"/>
    <col min="1291" max="1291" width="3.33203125" style="1" customWidth="1"/>
    <col min="1292" max="1292" width="4.109375" style="1" customWidth="1"/>
    <col min="1293" max="1293" width="3.33203125" style="1" customWidth="1"/>
    <col min="1294" max="1294" width="2" style="1" customWidth="1"/>
    <col min="1295" max="1295" width="9" style="1"/>
    <col min="1296" max="1296" width="7.6640625" style="1" customWidth="1"/>
    <col min="1297" max="1297" width="3.33203125" style="1" customWidth="1"/>
    <col min="1298" max="1298" width="5.6640625" style="1" customWidth="1"/>
    <col min="1299" max="1299" width="9" style="1" customWidth="1"/>
    <col min="1300" max="1300" width="5.33203125" style="1" customWidth="1"/>
    <col min="1301" max="1535" width="9" style="1"/>
    <col min="1536" max="1536" width="3.33203125" style="1" customWidth="1"/>
    <col min="1537" max="1537" width="9" style="1"/>
    <col min="1538" max="1538" width="5.6640625" style="1" customWidth="1"/>
    <col min="1539" max="1539" width="3.33203125" style="1" customWidth="1"/>
    <col min="1540" max="1540" width="5.33203125" style="1" customWidth="1"/>
    <col min="1541" max="1541" width="2.88671875" style="1" customWidth="1"/>
    <col min="1542" max="1542" width="4.109375" style="1" customWidth="1"/>
    <col min="1543" max="1544" width="3.33203125" style="1" customWidth="1"/>
    <col min="1545" max="1545" width="2.6640625" style="1" customWidth="1"/>
    <col min="1546" max="1546" width="4.109375" style="1" customWidth="1"/>
    <col min="1547" max="1547" width="3.33203125" style="1" customWidth="1"/>
    <col min="1548" max="1548" width="4.109375" style="1" customWidth="1"/>
    <col min="1549" max="1549" width="3.33203125" style="1" customWidth="1"/>
    <col min="1550" max="1550" width="2" style="1" customWidth="1"/>
    <col min="1551" max="1551" width="9" style="1"/>
    <col min="1552" max="1552" width="7.6640625" style="1" customWidth="1"/>
    <col min="1553" max="1553" width="3.33203125" style="1" customWidth="1"/>
    <col min="1554" max="1554" width="5.6640625" style="1" customWidth="1"/>
    <col min="1555" max="1555" width="9" style="1" customWidth="1"/>
    <col min="1556" max="1556" width="5.33203125" style="1" customWidth="1"/>
    <col min="1557" max="1791" width="9" style="1"/>
    <col min="1792" max="1792" width="3.33203125" style="1" customWidth="1"/>
    <col min="1793" max="1793" width="9" style="1"/>
    <col min="1794" max="1794" width="5.6640625" style="1" customWidth="1"/>
    <col min="1795" max="1795" width="3.33203125" style="1" customWidth="1"/>
    <col min="1796" max="1796" width="5.33203125" style="1" customWidth="1"/>
    <col min="1797" max="1797" width="2.88671875" style="1" customWidth="1"/>
    <col min="1798" max="1798" width="4.109375" style="1" customWidth="1"/>
    <col min="1799" max="1800" width="3.33203125" style="1" customWidth="1"/>
    <col min="1801" max="1801" width="2.6640625" style="1" customWidth="1"/>
    <col min="1802" max="1802" width="4.109375" style="1" customWidth="1"/>
    <col min="1803" max="1803" width="3.33203125" style="1" customWidth="1"/>
    <col min="1804" max="1804" width="4.109375" style="1" customWidth="1"/>
    <col min="1805" max="1805" width="3.33203125" style="1" customWidth="1"/>
    <col min="1806" max="1806" width="2" style="1" customWidth="1"/>
    <col min="1807" max="1807" width="9" style="1"/>
    <col min="1808" max="1808" width="7.6640625" style="1" customWidth="1"/>
    <col min="1809" max="1809" width="3.33203125" style="1" customWidth="1"/>
    <col min="1810" max="1810" width="5.6640625" style="1" customWidth="1"/>
    <col min="1811" max="1811" width="9" style="1" customWidth="1"/>
    <col min="1812" max="1812" width="5.33203125" style="1" customWidth="1"/>
    <col min="1813" max="2047" width="9" style="1"/>
    <col min="2048" max="2048" width="3.33203125" style="1" customWidth="1"/>
    <col min="2049" max="2049" width="9" style="1"/>
    <col min="2050" max="2050" width="5.6640625" style="1" customWidth="1"/>
    <col min="2051" max="2051" width="3.33203125" style="1" customWidth="1"/>
    <col min="2052" max="2052" width="5.33203125" style="1" customWidth="1"/>
    <col min="2053" max="2053" width="2.88671875" style="1" customWidth="1"/>
    <col min="2054" max="2054" width="4.109375" style="1" customWidth="1"/>
    <col min="2055" max="2056" width="3.33203125" style="1" customWidth="1"/>
    <col min="2057" max="2057" width="2.6640625" style="1" customWidth="1"/>
    <col min="2058" max="2058" width="4.109375" style="1" customWidth="1"/>
    <col min="2059" max="2059" width="3.33203125" style="1" customWidth="1"/>
    <col min="2060" max="2060" width="4.109375" style="1" customWidth="1"/>
    <col min="2061" max="2061" width="3.33203125" style="1" customWidth="1"/>
    <col min="2062" max="2062" width="2" style="1" customWidth="1"/>
    <col min="2063" max="2063" width="9" style="1"/>
    <col min="2064" max="2064" width="7.6640625" style="1" customWidth="1"/>
    <col min="2065" max="2065" width="3.33203125" style="1" customWidth="1"/>
    <col min="2066" max="2066" width="5.6640625" style="1" customWidth="1"/>
    <col min="2067" max="2067" width="9" style="1" customWidth="1"/>
    <col min="2068" max="2068" width="5.33203125" style="1" customWidth="1"/>
    <col min="2069" max="2303" width="9" style="1"/>
    <col min="2304" max="2304" width="3.33203125" style="1" customWidth="1"/>
    <col min="2305" max="2305" width="9" style="1"/>
    <col min="2306" max="2306" width="5.6640625" style="1" customWidth="1"/>
    <col min="2307" max="2307" width="3.33203125" style="1" customWidth="1"/>
    <col min="2308" max="2308" width="5.33203125" style="1" customWidth="1"/>
    <col min="2309" max="2309" width="2.88671875" style="1" customWidth="1"/>
    <col min="2310" max="2310" width="4.109375" style="1" customWidth="1"/>
    <col min="2311" max="2312" width="3.33203125" style="1" customWidth="1"/>
    <col min="2313" max="2313" width="2.6640625" style="1" customWidth="1"/>
    <col min="2314" max="2314" width="4.109375" style="1" customWidth="1"/>
    <col min="2315" max="2315" width="3.33203125" style="1" customWidth="1"/>
    <col min="2316" max="2316" width="4.109375" style="1" customWidth="1"/>
    <col min="2317" max="2317" width="3.33203125" style="1" customWidth="1"/>
    <col min="2318" max="2318" width="2" style="1" customWidth="1"/>
    <col min="2319" max="2319" width="9" style="1"/>
    <col min="2320" max="2320" width="7.6640625" style="1" customWidth="1"/>
    <col min="2321" max="2321" width="3.33203125" style="1" customWidth="1"/>
    <col min="2322" max="2322" width="5.6640625" style="1" customWidth="1"/>
    <col min="2323" max="2323" width="9" style="1" customWidth="1"/>
    <col min="2324" max="2324" width="5.33203125" style="1" customWidth="1"/>
    <col min="2325" max="2559" width="9" style="1"/>
    <col min="2560" max="2560" width="3.33203125" style="1" customWidth="1"/>
    <col min="2561" max="2561" width="9" style="1"/>
    <col min="2562" max="2562" width="5.6640625" style="1" customWidth="1"/>
    <col min="2563" max="2563" width="3.33203125" style="1" customWidth="1"/>
    <col min="2564" max="2564" width="5.33203125" style="1" customWidth="1"/>
    <col min="2565" max="2565" width="2.88671875" style="1" customWidth="1"/>
    <col min="2566" max="2566" width="4.109375" style="1" customWidth="1"/>
    <col min="2567" max="2568" width="3.33203125" style="1" customWidth="1"/>
    <col min="2569" max="2569" width="2.6640625" style="1" customWidth="1"/>
    <col min="2570" max="2570" width="4.109375" style="1" customWidth="1"/>
    <col min="2571" max="2571" width="3.33203125" style="1" customWidth="1"/>
    <col min="2572" max="2572" width="4.109375" style="1" customWidth="1"/>
    <col min="2573" max="2573" width="3.33203125" style="1" customWidth="1"/>
    <col min="2574" max="2574" width="2" style="1" customWidth="1"/>
    <col min="2575" max="2575" width="9" style="1"/>
    <col min="2576" max="2576" width="7.6640625" style="1" customWidth="1"/>
    <col min="2577" max="2577" width="3.33203125" style="1" customWidth="1"/>
    <col min="2578" max="2578" width="5.6640625" style="1" customWidth="1"/>
    <col min="2579" max="2579" width="9" style="1" customWidth="1"/>
    <col min="2580" max="2580" width="5.33203125" style="1" customWidth="1"/>
    <col min="2581" max="2815" width="9" style="1"/>
    <col min="2816" max="2816" width="3.33203125" style="1" customWidth="1"/>
    <col min="2817" max="2817" width="9" style="1"/>
    <col min="2818" max="2818" width="5.6640625" style="1" customWidth="1"/>
    <col min="2819" max="2819" width="3.33203125" style="1" customWidth="1"/>
    <col min="2820" max="2820" width="5.33203125" style="1" customWidth="1"/>
    <col min="2821" max="2821" width="2.88671875" style="1" customWidth="1"/>
    <col min="2822" max="2822" width="4.109375" style="1" customWidth="1"/>
    <col min="2823" max="2824" width="3.33203125" style="1" customWidth="1"/>
    <col min="2825" max="2825" width="2.6640625" style="1" customWidth="1"/>
    <col min="2826" max="2826" width="4.109375" style="1" customWidth="1"/>
    <col min="2827" max="2827" width="3.33203125" style="1" customWidth="1"/>
    <col min="2828" max="2828" width="4.109375" style="1" customWidth="1"/>
    <col min="2829" max="2829" width="3.33203125" style="1" customWidth="1"/>
    <col min="2830" max="2830" width="2" style="1" customWidth="1"/>
    <col min="2831" max="2831" width="9" style="1"/>
    <col min="2832" max="2832" width="7.6640625" style="1" customWidth="1"/>
    <col min="2833" max="2833" width="3.33203125" style="1" customWidth="1"/>
    <col min="2834" max="2834" width="5.6640625" style="1" customWidth="1"/>
    <col min="2835" max="2835" width="9" style="1" customWidth="1"/>
    <col min="2836" max="2836" width="5.33203125" style="1" customWidth="1"/>
    <col min="2837" max="3071" width="9" style="1"/>
    <col min="3072" max="3072" width="3.33203125" style="1" customWidth="1"/>
    <col min="3073" max="3073" width="9" style="1"/>
    <col min="3074" max="3074" width="5.6640625" style="1" customWidth="1"/>
    <col min="3075" max="3075" width="3.33203125" style="1" customWidth="1"/>
    <col min="3076" max="3076" width="5.33203125" style="1" customWidth="1"/>
    <col min="3077" max="3077" width="2.88671875" style="1" customWidth="1"/>
    <col min="3078" max="3078" width="4.109375" style="1" customWidth="1"/>
    <col min="3079" max="3080" width="3.33203125" style="1" customWidth="1"/>
    <col min="3081" max="3081" width="2.6640625" style="1" customWidth="1"/>
    <col min="3082" max="3082" width="4.109375" style="1" customWidth="1"/>
    <col min="3083" max="3083" width="3.33203125" style="1" customWidth="1"/>
    <col min="3084" max="3084" width="4.109375" style="1" customWidth="1"/>
    <col min="3085" max="3085" width="3.33203125" style="1" customWidth="1"/>
    <col min="3086" max="3086" width="2" style="1" customWidth="1"/>
    <col min="3087" max="3087" width="9" style="1"/>
    <col min="3088" max="3088" width="7.6640625" style="1" customWidth="1"/>
    <col min="3089" max="3089" width="3.33203125" style="1" customWidth="1"/>
    <col min="3090" max="3090" width="5.6640625" style="1" customWidth="1"/>
    <col min="3091" max="3091" width="9" style="1" customWidth="1"/>
    <col min="3092" max="3092" width="5.33203125" style="1" customWidth="1"/>
    <col min="3093" max="3327" width="9" style="1"/>
    <col min="3328" max="3328" width="3.33203125" style="1" customWidth="1"/>
    <col min="3329" max="3329" width="9" style="1"/>
    <col min="3330" max="3330" width="5.6640625" style="1" customWidth="1"/>
    <col min="3331" max="3331" width="3.33203125" style="1" customWidth="1"/>
    <col min="3332" max="3332" width="5.33203125" style="1" customWidth="1"/>
    <col min="3333" max="3333" width="2.88671875" style="1" customWidth="1"/>
    <col min="3334" max="3334" width="4.109375" style="1" customWidth="1"/>
    <col min="3335" max="3336" width="3.33203125" style="1" customWidth="1"/>
    <col min="3337" max="3337" width="2.6640625" style="1" customWidth="1"/>
    <col min="3338" max="3338" width="4.109375" style="1" customWidth="1"/>
    <col min="3339" max="3339" width="3.33203125" style="1" customWidth="1"/>
    <col min="3340" max="3340" width="4.109375" style="1" customWidth="1"/>
    <col min="3341" max="3341" width="3.33203125" style="1" customWidth="1"/>
    <col min="3342" max="3342" width="2" style="1" customWidth="1"/>
    <col min="3343" max="3343" width="9" style="1"/>
    <col min="3344" max="3344" width="7.6640625" style="1" customWidth="1"/>
    <col min="3345" max="3345" width="3.33203125" style="1" customWidth="1"/>
    <col min="3346" max="3346" width="5.6640625" style="1" customWidth="1"/>
    <col min="3347" max="3347" width="9" style="1" customWidth="1"/>
    <col min="3348" max="3348" width="5.33203125" style="1" customWidth="1"/>
    <col min="3349" max="3583" width="9" style="1"/>
    <col min="3584" max="3584" width="3.33203125" style="1" customWidth="1"/>
    <col min="3585" max="3585" width="9" style="1"/>
    <col min="3586" max="3586" width="5.6640625" style="1" customWidth="1"/>
    <col min="3587" max="3587" width="3.33203125" style="1" customWidth="1"/>
    <col min="3588" max="3588" width="5.33203125" style="1" customWidth="1"/>
    <col min="3589" max="3589" width="2.88671875" style="1" customWidth="1"/>
    <col min="3590" max="3590" width="4.109375" style="1" customWidth="1"/>
    <col min="3591" max="3592" width="3.33203125" style="1" customWidth="1"/>
    <col min="3593" max="3593" width="2.6640625" style="1" customWidth="1"/>
    <col min="3594" max="3594" width="4.109375" style="1" customWidth="1"/>
    <col min="3595" max="3595" width="3.33203125" style="1" customWidth="1"/>
    <col min="3596" max="3596" width="4.109375" style="1" customWidth="1"/>
    <col min="3597" max="3597" width="3.33203125" style="1" customWidth="1"/>
    <col min="3598" max="3598" width="2" style="1" customWidth="1"/>
    <col min="3599" max="3599" width="9" style="1"/>
    <col min="3600" max="3600" width="7.6640625" style="1" customWidth="1"/>
    <col min="3601" max="3601" width="3.33203125" style="1" customWidth="1"/>
    <col min="3602" max="3602" width="5.6640625" style="1" customWidth="1"/>
    <col min="3603" max="3603" width="9" style="1" customWidth="1"/>
    <col min="3604" max="3604" width="5.33203125" style="1" customWidth="1"/>
    <col min="3605" max="3839" width="9" style="1"/>
    <col min="3840" max="3840" width="3.33203125" style="1" customWidth="1"/>
    <col min="3841" max="3841" width="9" style="1"/>
    <col min="3842" max="3842" width="5.6640625" style="1" customWidth="1"/>
    <col min="3843" max="3843" width="3.33203125" style="1" customWidth="1"/>
    <col min="3844" max="3844" width="5.33203125" style="1" customWidth="1"/>
    <col min="3845" max="3845" width="2.88671875" style="1" customWidth="1"/>
    <col min="3846" max="3846" width="4.109375" style="1" customWidth="1"/>
    <col min="3847" max="3848" width="3.33203125" style="1" customWidth="1"/>
    <col min="3849" max="3849" width="2.6640625" style="1" customWidth="1"/>
    <col min="3850" max="3850" width="4.109375" style="1" customWidth="1"/>
    <col min="3851" max="3851" width="3.33203125" style="1" customWidth="1"/>
    <col min="3852" max="3852" width="4.109375" style="1" customWidth="1"/>
    <col min="3853" max="3853" width="3.33203125" style="1" customWidth="1"/>
    <col min="3854" max="3854" width="2" style="1" customWidth="1"/>
    <col min="3855" max="3855" width="9" style="1"/>
    <col min="3856" max="3856" width="7.6640625" style="1" customWidth="1"/>
    <col min="3857" max="3857" width="3.33203125" style="1" customWidth="1"/>
    <col min="3858" max="3858" width="5.6640625" style="1" customWidth="1"/>
    <col min="3859" max="3859" width="9" style="1" customWidth="1"/>
    <col min="3860" max="3860" width="5.33203125" style="1" customWidth="1"/>
    <col min="3861" max="4095" width="9" style="1"/>
    <col min="4096" max="4096" width="3.33203125" style="1" customWidth="1"/>
    <col min="4097" max="4097" width="9" style="1"/>
    <col min="4098" max="4098" width="5.6640625" style="1" customWidth="1"/>
    <col min="4099" max="4099" width="3.33203125" style="1" customWidth="1"/>
    <col min="4100" max="4100" width="5.33203125" style="1" customWidth="1"/>
    <col min="4101" max="4101" width="2.88671875" style="1" customWidth="1"/>
    <col min="4102" max="4102" width="4.109375" style="1" customWidth="1"/>
    <col min="4103" max="4104" width="3.33203125" style="1" customWidth="1"/>
    <col min="4105" max="4105" width="2.6640625" style="1" customWidth="1"/>
    <col min="4106" max="4106" width="4.109375" style="1" customWidth="1"/>
    <col min="4107" max="4107" width="3.33203125" style="1" customWidth="1"/>
    <col min="4108" max="4108" width="4.109375" style="1" customWidth="1"/>
    <col min="4109" max="4109" width="3.33203125" style="1" customWidth="1"/>
    <col min="4110" max="4110" width="2" style="1" customWidth="1"/>
    <col min="4111" max="4111" width="9" style="1"/>
    <col min="4112" max="4112" width="7.6640625" style="1" customWidth="1"/>
    <col min="4113" max="4113" width="3.33203125" style="1" customWidth="1"/>
    <col min="4114" max="4114" width="5.6640625" style="1" customWidth="1"/>
    <col min="4115" max="4115" width="9" style="1" customWidth="1"/>
    <col min="4116" max="4116" width="5.33203125" style="1" customWidth="1"/>
    <col min="4117" max="4351" width="9" style="1"/>
    <col min="4352" max="4352" width="3.33203125" style="1" customWidth="1"/>
    <col min="4353" max="4353" width="9" style="1"/>
    <col min="4354" max="4354" width="5.6640625" style="1" customWidth="1"/>
    <col min="4355" max="4355" width="3.33203125" style="1" customWidth="1"/>
    <col min="4356" max="4356" width="5.33203125" style="1" customWidth="1"/>
    <col min="4357" max="4357" width="2.88671875" style="1" customWidth="1"/>
    <col min="4358" max="4358" width="4.109375" style="1" customWidth="1"/>
    <col min="4359" max="4360" width="3.33203125" style="1" customWidth="1"/>
    <col min="4361" max="4361" width="2.6640625" style="1" customWidth="1"/>
    <col min="4362" max="4362" width="4.109375" style="1" customWidth="1"/>
    <col min="4363" max="4363" width="3.33203125" style="1" customWidth="1"/>
    <col min="4364" max="4364" width="4.109375" style="1" customWidth="1"/>
    <col min="4365" max="4365" width="3.33203125" style="1" customWidth="1"/>
    <col min="4366" max="4366" width="2" style="1" customWidth="1"/>
    <col min="4367" max="4367" width="9" style="1"/>
    <col min="4368" max="4368" width="7.6640625" style="1" customWidth="1"/>
    <col min="4369" max="4369" width="3.33203125" style="1" customWidth="1"/>
    <col min="4370" max="4370" width="5.6640625" style="1" customWidth="1"/>
    <col min="4371" max="4371" width="9" style="1" customWidth="1"/>
    <col min="4372" max="4372" width="5.33203125" style="1" customWidth="1"/>
    <col min="4373" max="4607" width="9" style="1"/>
    <col min="4608" max="4608" width="3.33203125" style="1" customWidth="1"/>
    <col min="4609" max="4609" width="9" style="1"/>
    <col min="4610" max="4610" width="5.6640625" style="1" customWidth="1"/>
    <col min="4611" max="4611" width="3.33203125" style="1" customWidth="1"/>
    <col min="4612" max="4612" width="5.33203125" style="1" customWidth="1"/>
    <col min="4613" max="4613" width="2.88671875" style="1" customWidth="1"/>
    <col min="4614" max="4614" width="4.109375" style="1" customWidth="1"/>
    <col min="4615" max="4616" width="3.33203125" style="1" customWidth="1"/>
    <col min="4617" max="4617" width="2.6640625" style="1" customWidth="1"/>
    <col min="4618" max="4618" width="4.109375" style="1" customWidth="1"/>
    <col min="4619" max="4619" width="3.33203125" style="1" customWidth="1"/>
    <col min="4620" max="4620" width="4.109375" style="1" customWidth="1"/>
    <col min="4621" max="4621" width="3.33203125" style="1" customWidth="1"/>
    <col min="4622" max="4622" width="2" style="1" customWidth="1"/>
    <col min="4623" max="4623" width="9" style="1"/>
    <col min="4624" max="4624" width="7.6640625" style="1" customWidth="1"/>
    <col min="4625" max="4625" width="3.33203125" style="1" customWidth="1"/>
    <col min="4626" max="4626" width="5.6640625" style="1" customWidth="1"/>
    <col min="4627" max="4627" width="9" style="1" customWidth="1"/>
    <col min="4628" max="4628" width="5.33203125" style="1" customWidth="1"/>
    <col min="4629" max="4863" width="9" style="1"/>
    <col min="4864" max="4864" width="3.33203125" style="1" customWidth="1"/>
    <col min="4865" max="4865" width="9" style="1"/>
    <col min="4866" max="4866" width="5.6640625" style="1" customWidth="1"/>
    <col min="4867" max="4867" width="3.33203125" style="1" customWidth="1"/>
    <col min="4868" max="4868" width="5.33203125" style="1" customWidth="1"/>
    <col min="4869" max="4869" width="2.88671875" style="1" customWidth="1"/>
    <col min="4870" max="4870" width="4.109375" style="1" customWidth="1"/>
    <col min="4871" max="4872" width="3.33203125" style="1" customWidth="1"/>
    <col min="4873" max="4873" width="2.6640625" style="1" customWidth="1"/>
    <col min="4874" max="4874" width="4.109375" style="1" customWidth="1"/>
    <col min="4875" max="4875" width="3.33203125" style="1" customWidth="1"/>
    <col min="4876" max="4876" width="4.109375" style="1" customWidth="1"/>
    <col min="4877" max="4877" width="3.33203125" style="1" customWidth="1"/>
    <col min="4878" max="4878" width="2" style="1" customWidth="1"/>
    <col min="4879" max="4879" width="9" style="1"/>
    <col min="4880" max="4880" width="7.6640625" style="1" customWidth="1"/>
    <col min="4881" max="4881" width="3.33203125" style="1" customWidth="1"/>
    <col min="4882" max="4882" width="5.6640625" style="1" customWidth="1"/>
    <col min="4883" max="4883" width="9" style="1" customWidth="1"/>
    <col min="4884" max="4884" width="5.33203125" style="1" customWidth="1"/>
    <col min="4885" max="5119" width="9" style="1"/>
    <col min="5120" max="5120" width="3.33203125" style="1" customWidth="1"/>
    <col min="5121" max="5121" width="9" style="1"/>
    <col min="5122" max="5122" width="5.6640625" style="1" customWidth="1"/>
    <col min="5123" max="5123" width="3.33203125" style="1" customWidth="1"/>
    <col min="5124" max="5124" width="5.33203125" style="1" customWidth="1"/>
    <col min="5125" max="5125" width="2.88671875" style="1" customWidth="1"/>
    <col min="5126" max="5126" width="4.109375" style="1" customWidth="1"/>
    <col min="5127" max="5128" width="3.33203125" style="1" customWidth="1"/>
    <col min="5129" max="5129" width="2.6640625" style="1" customWidth="1"/>
    <col min="5130" max="5130" width="4.109375" style="1" customWidth="1"/>
    <col min="5131" max="5131" width="3.33203125" style="1" customWidth="1"/>
    <col min="5132" max="5132" width="4.109375" style="1" customWidth="1"/>
    <col min="5133" max="5133" width="3.33203125" style="1" customWidth="1"/>
    <col min="5134" max="5134" width="2" style="1" customWidth="1"/>
    <col min="5135" max="5135" width="9" style="1"/>
    <col min="5136" max="5136" width="7.6640625" style="1" customWidth="1"/>
    <col min="5137" max="5137" width="3.33203125" style="1" customWidth="1"/>
    <col min="5138" max="5138" width="5.6640625" style="1" customWidth="1"/>
    <col min="5139" max="5139" width="9" style="1" customWidth="1"/>
    <col min="5140" max="5140" width="5.33203125" style="1" customWidth="1"/>
    <col min="5141" max="5375" width="9" style="1"/>
    <col min="5376" max="5376" width="3.33203125" style="1" customWidth="1"/>
    <col min="5377" max="5377" width="9" style="1"/>
    <col min="5378" max="5378" width="5.6640625" style="1" customWidth="1"/>
    <col min="5379" max="5379" width="3.33203125" style="1" customWidth="1"/>
    <col min="5380" max="5380" width="5.33203125" style="1" customWidth="1"/>
    <col min="5381" max="5381" width="2.88671875" style="1" customWidth="1"/>
    <col min="5382" max="5382" width="4.109375" style="1" customWidth="1"/>
    <col min="5383" max="5384" width="3.33203125" style="1" customWidth="1"/>
    <col min="5385" max="5385" width="2.6640625" style="1" customWidth="1"/>
    <col min="5386" max="5386" width="4.109375" style="1" customWidth="1"/>
    <col min="5387" max="5387" width="3.33203125" style="1" customWidth="1"/>
    <col min="5388" max="5388" width="4.109375" style="1" customWidth="1"/>
    <col min="5389" max="5389" width="3.33203125" style="1" customWidth="1"/>
    <col min="5390" max="5390" width="2" style="1" customWidth="1"/>
    <col min="5391" max="5391" width="9" style="1"/>
    <col min="5392" max="5392" width="7.6640625" style="1" customWidth="1"/>
    <col min="5393" max="5393" width="3.33203125" style="1" customWidth="1"/>
    <col min="5394" max="5394" width="5.6640625" style="1" customWidth="1"/>
    <col min="5395" max="5395" width="9" style="1" customWidth="1"/>
    <col min="5396" max="5396" width="5.33203125" style="1" customWidth="1"/>
    <col min="5397" max="5631" width="9" style="1"/>
    <col min="5632" max="5632" width="3.33203125" style="1" customWidth="1"/>
    <col min="5633" max="5633" width="9" style="1"/>
    <col min="5634" max="5634" width="5.6640625" style="1" customWidth="1"/>
    <col min="5635" max="5635" width="3.33203125" style="1" customWidth="1"/>
    <col min="5636" max="5636" width="5.33203125" style="1" customWidth="1"/>
    <col min="5637" max="5637" width="2.88671875" style="1" customWidth="1"/>
    <col min="5638" max="5638" width="4.109375" style="1" customWidth="1"/>
    <col min="5639" max="5640" width="3.33203125" style="1" customWidth="1"/>
    <col min="5641" max="5641" width="2.6640625" style="1" customWidth="1"/>
    <col min="5642" max="5642" width="4.109375" style="1" customWidth="1"/>
    <col min="5643" max="5643" width="3.33203125" style="1" customWidth="1"/>
    <col min="5644" max="5644" width="4.109375" style="1" customWidth="1"/>
    <col min="5645" max="5645" width="3.33203125" style="1" customWidth="1"/>
    <col min="5646" max="5646" width="2" style="1" customWidth="1"/>
    <col min="5647" max="5647" width="9" style="1"/>
    <col min="5648" max="5648" width="7.6640625" style="1" customWidth="1"/>
    <col min="5649" max="5649" width="3.33203125" style="1" customWidth="1"/>
    <col min="5650" max="5650" width="5.6640625" style="1" customWidth="1"/>
    <col min="5651" max="5651" width="9" style="1" customWidth="1"/>
    <col min="5652" max="5652" width="5.33203125" style="1" customWidth="1"/>
    <col min="5653" max="5887" width="9" style="1"/>
    <col min="5888" max="5888" width="3.33203125" style="1" customWidth="1"/>
    <col min="5889" max="5889" width="9" style="1"/>
    <col min="5890" max="5890" width="5.6640625" style="1" customWidth="1"/>
    <col min="5891" max="5891" width="3.33203125" style="1" customWidth="1"/>
    <col min="5892" max="5892" width="5.33203125" style="1" customWidth="1"/>
    <col min="5893" max="5893" width="2.88671875" style="1" customWidth="1"/>
    <col min="5894" max="5894" width="4.109375" style="1" customWidth="1"/>
    <col min="5895" max="5896" width="3.33203125" style="1" customWidth="1"/>
    <col min="5897" max="5897" width="2.6640625" style="1" customWidth="1"/>
    <col min="5898" max="5898" width="4.109375" style="1" customWidth="1"/>
    <col min="5899" max="5899" width="3.33203125" style="1" customWidth="1"/>
    <col min="5900" max="5900" width="4.109375" style="1" customWidth="1"/>
    <col min="5901" max="5901" width="3.33203125" style="1" customWidth="1"/>
    <col min="5902" max="5902" width="2" style="1" customWidth="1"/>
    <col min="5903" max="5903" width="9" style="1"/>
    <col min="5904" max="5904" width="7.6640625" style="1" customWidth="1"/>
    <col min="5905" max="5905" width="3.33203125" style="1" customWidth="1"/>
    <col min="5906" max="5906" width="5.6640625" style="1" customWidth="1"/>
    <col min="5907" max="5907" width="9" style="1" customWidth="1"/>
    <col min="5908" max="5908" width="5.33203125" style="1" customWidth="1"/>
    <col min="5909" max="6143" width="9" style="1"/>
    <col min="6144" max="6144" width="3.33203125" style="1" customWidth="1"/>
    <col min="6145" max="6145" width="9" style="1"/>
    <col min="6146" max="6146" width="5.6640625" style="1" customWidth="1"/>
    <col min="6147" max="6147" width="3.33203125" style="1" customWidth="1"/>
    <col min="6148" max="6148" width="5.33203125" style="1" customWidth="1"/>
    <col min="6149" max="6149" width="2.88671875" style="1" customWidth="1"/>
    <col min="6150" max="6150" width="4.109375" style="1" customWidth="1"/>
    <col min="6151" max="6152" width="3.33203125" style="1" customWidth="1"/>
    <col min="6153" max="6153" width="2.6640625" style="1" customWidth="1"/>
    <col min="6154" max="6154" width="4.109375" style="1" customWidth="1"/>
    <col min="6155" max="6155" width="3.33203125" style="1" customWidth="1"/>
    <col min="6156" max="6156" width="4.109375" style="1" customWidth="1"/>
    <col min="6157" max="6157" width="3.33203125" style="1" customWidth="1"/>
    <col min="6158" max="6158" width="2" style="1" customWidth="1"/>
    <col min="6159" max="6159" width="9" style="1"/>
    <col min="6160" max="6160" width="7.6640625" style="1" customWidth="1"/>
    <col min="6161" max="6161" width="3.33203125" style="1" customWidth="1"/>
    <col min="6162" max="6162" width="5.6640625" style="1" customWidth="1"/>
    <col min="6163" max="6163" width="9" style="1" customWidth="1"/>
    <col min="6164" max="6164" width="5.33203125" style="1" customWidth="1"/>
    <col min="6165" max="6399" width="9" style="1"/>
    <col min="6400" max="6400" width="3.33203125" style="1" customWidth="1"/>
    <col min="6401" max="6401" width="9" style="1"/>
    <col min="6402" max="6402" width="5.6640625" style="1" customWidth="1"/>
    <col min="6403" max="6403" width="3.33203125" style="1" customWidth="1"/>
    <col min="6404" max="6404" width="5.33203125" style="1" customWidth="1"/>
    <col min="6405" max="6405" width="2.88671875" style="1" customWidth="1"/>
    <col min="6406" max="6406" width="4.109375" style="1" customWidth="1"/>
    <col min="6407" max="6408" width="3.33203125" style="1" customWidth="1"/>
    <col min="6409" max="6409" width="2.6640625" style="1" customWidth="1"/>
    <col min="6410" max="6410" width="4.109375" style="1" customWidth="1"/>
    <col min="6411" max="6411" width="3.33203125" style="1" customWidth="1"/>
    <col min="6412" max="6412" width="4.109375" style="1" customWidth="1"/>
    <col min="6413" max="6413" width="3.33203125" style="1" customWidth="1"/>
    <col min="6414" max="6414" width="2" style="1" customWidth="1"/>
    <col min="6415" max="6415" width="9" style="1"/>
    <col min="6416" max="6416" width="7.6640625" style="1" customWidth="1"/>
    <col min="6417" max="6417" width="3.33203125" style="1" customWidth="1"/>
    <col min="6418" max="6418" width="5.6640625" style="1" customWidth="1"/>
    <col min="6419" max="6419" width="9" style="1" customWidth="1"/>
    <col min="6420" max="6420" width="5.33203125" style="1" customWidth="1"/>
    <col min="6421" max="6655" width="9" style="1"/>
    <col min="6656" max="6656" width="3.33203125" style="1" customWidth="1"/>
    <col min="6657" max="6657" width="9" style="1"/>
    <col min="6658" max="6658" width="5.6640625" style="1" customWidth="1"/>
    <col min="6659" max="6659" width="3.33203125" style="1" customWidth="1"/>
    <col min="6660" max="6660" width="5.33203125" style="1" customWidth="1"/>
    <col min="6661" max="6661" width="2.88671875" style="1" customWidth="1"/>
    <col min="6662" max="6662" width="4.109375" style="1" customWidth="1"/>
    <col min="6663" max="6664" width="3.33203125" style="1" customWidth="1"/>
    <col min="6665" max="6665" width="2.6640625" style="1" customWidth="1"/>
    <col min="6666" max="6666" width="4.109375" style="1" customWidth="1"/>
    <col min="6667" max="6667" width="3.33203125" style="1" customWidth="1"/>
    <col min="6668" max="6668" width="4.109375" style="1" customWidth="1"/>
    <col min="6669" max="6669" width="3.33203125" style="1" customWidth="1"/>
    <col min="6670" max="6670" width="2" style="1" customWidth="1"/>
    <col min="6671" max="6671" width="9" style="1"/>
    <col min="6672" max="6672" width="7.6640625" style="1" customWidth="1"/>
    <col min="6673" max="6673" width="3.33203125" style="1" customWidth="1"/>
    <col min="6674" max="6674" width="5.6640625" style="1" customWidth="1"/>
    <col min="6675" max="6675" width="9" style="1" customWidth="1"/>
    <col min="6676" max="6676" width="5.33203125" style="1" customWidth="1"/>
    <col min="6677" max="6911" width="9" style="1"/>
    <col min="6912" max="6912" width="3.33203125" style="1" customWidth="1"/>
    <col min="6913" max="6913" width="9" style="1"/>
    <col min="6914" max="6914" width="5.6640625" style="1" customWidth="1"/>
    <col min="6915" max="6915" width="3.33203125" style="1" customWidth="1"/>
    <col min="6916" max="6916" width="5.33203125" style="1" customWidth="1"/>
    <col min="6917" max="6917" width="2.88671875" style="1" customWidth="1"/>
    <col min="6918" max="6918" width="4.109375" style="1" customWidth="1"/>
    <col min="6919" max="6920" width="3.33203125" style="1" customWidth="1"/>
    <col min="6921" max="6921" width="2.6640625" style="1" customWidth="1"/>
    <col min="6922" max="6922" width="4.109375" style="1" customWidth="1"/>
    <col min="6923" max="6923" width="3.33203125" style="1" customWidth="1"/>
    <col min="6924" max="6924" width="4.109375" style="1" customWidth="1"/>
    <col min="6925" max="6925" width="3.33203125" style="1" customWidth="1"/>
    <col min="6926" max="6926" width="2" style="1" customWidth="1"/>
    <col min="6927" max="6927" width="9" style="1"/>
    <col min="6928" max="6928" width="7.6640625" style="1" customWidth="1"/>
    <col min="6929" max="6929" width="3.33203125" style="1" customWidth="1"/>
    <col min="6930" max="6930" width="5.6640625" style="1" customWidth="1"/>
    <col min="6931" max="6931" width="9" style="1" customWidth="1"/>
    <col min="6932" max="6932" width="5.33203125" style="1" customWidth="1"/>
    <col min="6933" max="7167" width="9" style="1"/>
    <col min="7168" max="7168" width="3.33203125" style="1" customWidth="1"/>
    <col min="7169" max="7169" width="9" style="1"/>
    <col min="7170" max="7170" width="5.6640625" style="1" customWidth="1"/>
    <col min="7171" max="7171" width="3.33203125" style="1" customWidth="1"/>
    <col min="7172" max="7172" width="5.33203125" style="1" customWidth="1"/>
    <col min="7173" max="7173" width="2.88671875" style="1" customWidth="1"/>
    <col min="7174" max="7174" width="4.109375" style="1" customWidth="1"/>
    <col min="7175" max="7176" width="3.33203125" style="1" customWidth="1"/>
    <col min="7177" max="7177" width="2.6640625" style="1" customWidth="1"/>
    <col min="7178" max="7178" width="4.109375" style="1" customWidth="1"/>
    <col min="7179" max="7179" width="3.33203125" style="1" customWidth="1"/>
    <col min="7180" max="7180" width="4.109375" style="1" customWidth="1"/>
    <col min="7181" max="7181" width="3.33203125" style="1" customWidth="1"/>
    <col min="7182" max="7182" width="2" style="1" customWidth="1"/>
    <col min="7183" max="7183" width="9" style="1"/>
    <col min="7184" max="7184" width="7.6640625" style="1" customWidth="1"/>
    <col min="7185" max="7185" width="3.33203125" style="1" customWidth="1"/>
    <col min="7186" max="7186" width="5.6640625" style="1" customWidth="1"/>
    <col min="7187" max="7187" width="9" style="1" customWidth="1"/>
    <col min="7188" max="7188" width="5.33203125" style="1" customWidth="1"/>
    <col min="7189" max="7423" width="9" style="1"/>
    <col min="7424" max="7424" width="3.33203125" style="1" customWidth="1"/>
    <col min="7425" max="7425" width="9" style="1"/>
    <col min="7426" max="7426" width="5.6640625" style="1" customWidth="1"/>
    <col min="7427" max="7427" width="3.33203125" style="1" customWidth="1"/>
    <col min="7428" max="7428" width="5.33203125" style="1" customWidth="1"/>
    <col min="7429" max="7429" width="2.88671875" style="1" customWidth="1"/>
    <col min="7430" max="7430" width="4.109375" style="1" customWidth="1"/>
    <col min="7431" max="7432" width="3.33203125" style="1" customWidth="1"/>
    <col min="7433" max="7433" width="2.6640625" style="1" customWidth="1"/>
    <col min="7434" max="7434" width="4.109375" style="1" customWidth="1"/>
    <col min="7435" max="7435" width="3.33203125" style="1" customWidth="1"/>
    <col min="7436" max="7436" width="4.109375" style="1" customWidth="1"/>
    <col min="7437" max="7437" width="3.33203125" style="1" customWidth="1"/>
    <col min="7438" max="7438" width="2" style="1" customWidth="1"/>
    <col min="7439" max="7439" width="9" style="1"/>
    <col min="7440" max="7440" width="7.6640625" style="1" customWidth="1"/>
    <col min="7441" max="7441" width="3.33203125" style="1" customWidth="1"/>
    <col min="7442" max="7442" width="5.6640625" style="1" customWidth="1"/>
    <col min="7443" max="7443" width="9" style="1" customWidth="1"/>
    <col min="7444" max="7444" width="5.33203125" style="1" customWidth="1"/>
    <col min="7445" max="7679" width="9" style="1"/>
    <col min="7680" max="7680" width="3.33203125" style="1" customWidth="1"/>
    <col min="7681" max="7681" width="9" style="1"/>
    <col min="7682" max="7682" width="5.6640625" style="1" customWidth="1"/>
    <col min="7683" max="7683" width="3.33203125" style="1" customWidth="1"/>
    <col min="7684" max="7684" width="5.33203125" style="1" customWidth="1"/>
    <col min="7685" max="7685" width="2.88671875" style="1" customWidth="1"/>
    <col min="7686" max="7686" width="4.109375" style="1" customWidth="1"/>
    <col min="7687" max="7688" width="3.33203125" style="1" customWidth="1"/>
    <col min="7689" max="7689" width="2.6640625" style="1" customWidth="1"/>
    <col min="7690" max="7690" width="4.109375" style="1" customWidth="1"/>
    <col min="7691" max="7691" width="3.33203125" style="1" customWidth="1"/>
    <col min="7692" max="7692" width="4.109375" style="1" customWidth="1"/>
    <col min="7693" max="7693" width="3.33203125" style="1" customWidth="1"/>
    <col min="7694" max="7694" width="2" style="1" customWidth="1"/>
    <col min="7695" max="7695" width="9" style="1"/>
    <col min="7696" max="7696" width="7.6640625" style="1" customWidth="1"/>
    <col min="7697" max="7697" width="3.33203125" style="1" customWidth="1"/>
    <col min="7698" max="7698" width="5.6640625" style="1" customWidth="1"/>
    <col min="7699" max="7699" width="9" style="1" customWidth="1"/>
    <col min="7700" max="7700" width="5.33203125" style="1" customWidth="1"/>
    <col min="7701" max="7935" width="9" style="1"/>
    <col min="7936" max="7936" width="3.33203125" style="1" customWidth="1"/>
    <col min="7937" max="7937" width="9" style="1"/>
    <col min="7938" max="7938" width="5.6640625" style="1" customWidth="1"/>
    <col min="7939" max="7939" width="3.33203125" style="1" customWidth="1"/>
    <col min="7940" max="7940" width="5.33203125" style="1" customWidth="1"/>
    <col min="7941" max="7941" width="2.88671875" style="1" customWidth="1"/>
    <col min="7942" max="7942" width="4.109375" style="1" customWidth="1"/>
    <col min="7943" max="7944" width="3.33203125" style="1" customWidth="1"/>
    <col min="7945" max="7945" width="2.6640625" style="1" customWidth="1"/>
    <col min="7946" max="7946" width="4.109375" style="1" customWidth="1"/>
    <col min="7947" max="7947" width="3.33203125" style="1" customWidth="1"/>
    <col min="7948" max="7948" width="4.109375" style="1" customWidth="1"/>
    <col min="7949" max="7949" width="3.33203125" style="1" customWidth="1"/>
    <col min="7950" max="7950" width="2" style="1" customWidth="1"/>
    <col min="7951" max="7951" width="9" style="1"/>
    <col min="7952" max="7952" width="7.6640625" style="1" customWidth="1"/>
    <col min="7953" max="7953" width="3.33203125" style="1" customWidth="1"/>
    <col min="7954" max="7954" width="5.6640625" style="1" customWidth="1"/>
    <col min="7955" max="7955" width="9" style="1" customWidth="1"/>
    <col min="7956" max="7956" width="5.33203125" style="1" customWidth="1"/>
    <col min="7957" max="8191" width="9" style="1"/>
    <col min="8192" max="8192" width="3.33203125" style="1" customWidth="1"/>
    <col min="8193" max="8193" width="9" style="1"/>
    <col min="8194" max="8194" width="5.6640625" style="1" customWidth="1"/>
    <col min="8195" max="8195" width="3.33203125" style="1" customWidth="1"/>
    <col min="8196" max="8196" width="5.33203125" style="1" customWidth="1"/>
    <col min="8197" max="8197" width="2.88671875" style="1" customWidth="1"/>
    <col min="8198" max="8198" width="4.109375" style="1" customWidth="1"/>
    <col min="8199" max="8200" width="3.33203125" style="1" customWidth="1"/>
    <col min="8201" max="8201" width="2.6640625" style="1" customWidth="1"/>
    <col min="8202" max="8202" width="4.109375" style="1" customWidth="1"/>
    <col min="8203" max="8203" width="3.33203125" style="1" customWidth="1"/>
    <col min="8204" max="8204" width="4.109375" style="1" customWidth="1"/>
    <col min="8205" max="8205" width="3.33203125" style="1" customWidth="1"/>
    <col min="8206" max="8206" width="2" style="1" customWidth="1"/>
    <col min="8207" max="8207" width="9" style="1"/>
    <col min="8208" max="8208" width="7.6640625" style="1" customWidth="1"/>
    <col min="8209" max="8209" width="3.33203125" style="1" customWidth="1"/>
    <col min="8210" max="8210" width="5.6640625" style="1" customWidth="1"/>
    <col min="8211" max="8211" width="9" style="1" customWidth="1"/>
    <col min="8212" max="8212" width="5.33203125" style="1" customWidth="1"/>
    <col min="8213" max="8447" width="9" style="1"/>
    <col min="8448" max="8448" width="3.33203125" style="1" customWidth="1"/>
    <col min="8449" max="8449" width="9" style="1"/>
    <col min="8450" max="8450" width="5.6640625" style="1" customWidth="1"/>
    <col min="8451" max="8451" width="3.33203125" style="1" customWidth="1"/>
    <col min="8452" max="8452" width="5.33203125" style="1" customWidth="1"/>
    <col min="8453" max="8453" width="2.88671875" style="1" customWidth="1"/>
    <col min="8454" max="8454" width="4.109375" style="1" customWidth="1"/>
    <col min="8455" max="8456" width="3.33203125" style="1" customWidth="1"/>
    <col min="8457" max="8457" width="2.6640625" style="1" customWidth="1"/>
    <col min="8458" max="8458" width="4.109375" style="1" customWidth="1"/>
    <col min="8459" max="8459" width="3.33203125" style="1" customWidth="1"/>
    <col min="8460" max="8460" width="4.109375" style="1" customWidth="1"/>
    <col min="8461" max="8461" width="3.33203125" style="1" customWidth="1"/>
    <col min="8462" max="8462" width="2" style="1" customWidth="1"/>
    <col min="8463" max="8463" width="9" style="1"/>
    <col min="8464" max="8464" width="7.6640625" style="1" customWidth="1"/>
    <col min="8465" max="8465" width="3.33203125" style="1" customWidth="1"/>
    <col min="8466" max="8466" width="5.6640625" style="1" customWidth="1"/>
    <col min="8467" max="8467" width="9" style="1" customWidth="1"/>
    <col min="8468" max="8468" width="5.33203125" style="1" customWidth="1"/>
    <col min="8469" max="8703" width="9" style="1"/>
    <col min="8704" max="8704" width="3.33203125" style="1" customWidth="1"/>
    <col min="8705" max="8705" width="9" style="1"/>
    <col min="8706" max="8706" width="5.6640625" style="1" customWidth="1"/>
    <col min="8707" max="8707" width="3.33203125" style="1" customWidth="1"/>
    <col min="8708" max="8708" width="5.33203125" style="1" customWidth="1"/>
    <col min="8709" max="8709" width="2.88671875" style="1" customWidth="1"/>
    <col min="8710" max="8710" width="4.109375" style="1" customWidth="1"/>
    <col min="8711" max="8712" width="3.33203125" style="1" customWidth="1"/>
    <col min="8713" max="8713" width="2.6640625" style="1" customWidth="1"/>
    <col min="8714" max="8714" width="4.109375" style="1" customWidth="1"/>
    <col min="8715" max="8715" width="3.33203125" style="1" customWidth="1"/>
    <col min="8716" max="8716" width="4.109375" style="1" customWidth="1"/>
    <col min="8717" max="8717" width="3.33203125" style="1" customWidth="1"/>
    <col min="8718" max="8718" width="2" style="1" customWidth="1"/>
    <col min="8719" max="8719" width="9" style="1"/>
    <col min="8720" max="8720" width="7.6640625" style="1" customWidth="1"/>
    <col min="8721" max="8721" width="3.33203125" style="1" customWidth="1"/>
    <col min="8722" max="8722" width="5.6640625" style="1" customWidth="1"/>
    <col min="8723" max="8723" width="9" style="1" customWidth="1"/>
    <col min="8724" max="8724" width="5.33203125" style="1" customWidth="1"/>
    <col min="8725" max="8959" width="9" style="1"/>
    <col min="8960" max="8960" width="3.33203125" style="1" customWidth="1"/>
    <col min="8961" max="8961" width="9" style="1"/>
    <col min="8962" max="8962" width="5.6640625" style="1" customWidth="1"/>
    <col min="8963" max="8963" width="3.33203125" style="1" customWidth="1"/>
    <col min="8964" max="8964" width="5.33203125" style="1" customWidth="1"/>
    <col min="8965" max="8965" width="2.88671875" style="1" customWidth="1"/>
    <col min="8966" max="8966" width="4.109375" style="1" customWidth="1"/>
    <col min="8967" max="8968" width="3.33203125" style="1" customWidth="1"/>
    <col min="8969" max="8969" width="2.6640625" style="1" customWidth="1"/>
    <col min="8970" max="8970" width="4.109375" style="1" customWidth="1"/>
    <col min="8971" max="8971" width="3.33203125" style="1" customWidth="1"/>
    <col min="8972" max="8972" width="4.109375" style="1" customWidth="1"/>
    <col min="8973" max="8973" width="3.33203125" style="1" customWidth="1"/>
    <col min="8974" max="8974" width="2" style="1" customWidth="1"/>
    <col min="8975" max="8975" width="9" style="1"/>
    <col min="8976" max="8976" width="7.6640625" style="1" customWidth="1"/>
    <col min="8977" max="8977" width="3.33203125" style="1" customWidth="1"/>
    <col min="8978" max="8978" width="5.6640625" style="1" customWidth="1"/>
    <col min="8979" max="8979" width="9" style="1" customWidth="1"/>
    <col min="8980" max="8980" width="5.33203125" style="1" customWidth="1"/>
    <col min="8981" max="9215" width="9" style="1"/>
    <col min="9216" max="9216" width="3.33203125" style="1" customWidth="1"/>
    <col min="9217" max="9217" width="9" style="1"/>
    <col min="9218" max="9218" width="5.6640625" style="1" customWidth="1"/>
    <col min="9219" max="9219" width="3.33203125" style="1" customWidth="1"/>
    <col min="9220" max="9220" width="5.33203125" style="1" customWidth="1"/>
    <col min="9221" max="9221" width="2.88671875" style="1" customWidth="1"/>
    <col min="9222" max="9222" width="4.109375" style="1" customWidth="1"/>
    <col min="9223" max="9224" width="3.33203125" style="1" customWidth="1"/>
    <col min="9225" max="9225" width="2.6640625" style="1" customWidth="1"/>
    <col min="9226" max="9226" width="4.109375" style="1" customWidth="1"/>
    <col min="9227" max="9227" width="3.33203125" style="1" customWidth="1"/>
    <col min="9228" max="9228" width="4.109375" style="1" customWidth="1"/>
    <col min="9229" max="9229" width="3.33203125" style="1" customWidth="1"/>
    <col min="9230" max="9230" width="2" style="1" customWidth="1"/>
    <col min="9231" max="9231" width="9" style="1"/>
    <col min="9232" max="9232" width="7.6640625" style="1" customWidth="1"/>
    <col min="9233" max="9233" width="3.33203125" style="1" customWidth="1"/>
    <col min="9234" max="9234" width="5.6640625" style="1" customWidth="1"/>
    <col min="9235" max="9235" width="9" style="1" customWidth="1"/>
    <col min="9236" max="9236" width="5.33203125" style="1" customWidth="1"/>
    <col min="9237" max="9471" width="9" style="1"/>
    <col min="9472" max="9472" width="3.33203125" style="1" customWidth="1"/>
    <col min="9473" max="9473" width="9" style="1"/>
    <col min="9474" max="9474" width="5.6640625" style="1" customWidth="1"/>
    <col min="9475" max="9475" width="3.33203125" style="1" customWidth="1"/>
    <col min="9476" max="9476" width="5.33203125" style="1" customWidth="1"/>
    <col min="9477" max="9477" width="2.88671875" style="1" customWidth="1"/>
    <col min="9478" max="9478" width="4.109375" style="1" customWidth="1"/>
    <col min="9479" max="9480" width="3.33203125" style="1" customWidth="1"/>
    <col min="9481" max="9481" width="2.6640625" style="1" customWidth="1"/>
    <col min="9482" max="9482" width="4.109375" style="1" customWidth="1"/>
    <col min="9483" max="9483" width="3.33203125" style="1" customWidth="1"/>
    <col min="9484" max="9484" width="4.109375" style="1" customWidth="1"/>
    <col min="9485" max="9485" width="3.33203125" style="1" customWidth="1"/>
    <col min="9486" max="9486" width="2" style="1" customWidth="1"/>
    <col min="9487" max="9487" width="9" style="1"/>
    <col min="9488" max="9488" width="7.6640625" style="1" customWidth="1"/>
    <col min="9489" max="9489" width="3.33203125" style="1" customWidth="1"/>
    <col min="9490" max="9490" width="5.6640625" style="1" customWidth="1"/>
    <col min="9491" max="9491" width="9" style="1" customWidth="1"/>
    <col min="9492" max="9492" width="5.33203125" style="1" customWidth="1"/>
    <col min="9493" max="9727" width="9" style="1"/>
    <col min="9728" max="9728" width="3.33203125" style="1" customWidth="1"/>
    <col min="9729" max="9729" width="9" style="1"/>
    <col min="9730" max="9730" width="5.6640625" style="1" customWidth="1"/>
    <col min="9731" max="9731" width="3.33203125" style="1" customWidth="1"/>
    <col min="9732" max="9732" width="5.33203125" style="1" customWidth="1"/>
    <col min="9733" max="9733" width="2.88671875" style="1" customWidth="1"/>
    <col min="9734" max="9734" width="4.109375" style="1" customWidth="1"/>
    <col min="9735" max="9736" width="3.33203125" style="1" customWidth="1"/>
    <col min="9737" max="9737" width="2.6640625" style="1" customWidth="1"/>
    <col min="9738" max="9738" width="4.109375" style="1" customWidth="1"/>
    <col min="9739" max="9739" width="3.33203125" style="1" customWidth="1"/>
    <col min="9740" max="9740" width="4.109375" style="1" customWidth="1"/>
    <col min="9741" max="9741" width="3.33203125" style="1" customWidth="1"/>
    <col min="9742" max="9742" width="2" style="1" customWidth="1"/>
    <col min="9743" max="9743" width="9" style="1"/>
    <col min="9744" max="9744" width="7.6640625" style="1" customWidth="1"/>
    <col min="9745" max="9745" width="3.33203125" style="1" customWidth="1"/>
    <col min="9746" max="9746" width="5.6640625" style="1" customWidth="1"/>
    <col min="9747" max="9747" width="9" style="1" customWidth="1"/>
    <col min="9748" max="9748" width="5.33203125" style="1" customWidth="1"/>
    <col min="9749" max="9983" width="9" style="1"/>
    <col min="9984" max="9984" width="3.33203125" style="1" customWidth="1"/>
    <col min="9985" max="9985" width="9" style="1"/>
    <col min="9986" max="9986" width="5.6640625" style="1" customWidth="1"/>
    <col min="9987" max="9987" width="3.33203125" style="1" customWidth="1"/>
    <col min="9988" max="9988" width="5.33203125" style="1" customWidth="1"/>
    <col min="9989" max="9989" width="2.88671875" style="1" customWidth="1"/>
    <col min="9990" max="9990" width="4.109375" style="1" customWidth="1"/>
    <col min="9991" max="9992" width="3.33203125" style="1" customWidth="1"/>
    <col min="9993" max="9993" width="2.6640625" style="1" customWidth="1"/>
    <col min="9994" max="9994" width="4.109375" style="1" customWidth="1"/>
    <col min="9995" max="9995" width="3.33203125" style="1" customWidth="1"/>
    <col min="9996" max="9996" width="4.109375" style="1" customWidth="1"/>
    <col min="9997" max="9997" width="3.33203125" style="1" customWidth="1"/>
    <col min="9998" max="9998" width="2" style="1" customWidth="1"/>
    <col min="9999" max="9999" width="9" style="1"/>
    <col min="10000" max="10000" width="7.6640625" style="1" customWidth="1"/>
    <col min="10001" max="10001" width="3.33203125" style="1" customWidth="1"/>
    <col min="10002" max="10002" width="5.6640625" style="1" customWidth="1"/>
    <col min="10003" max="10003" width="9" style="1" customWidth="1"/>
    <col min="10004" max="10004" width="5.33203125" style="1" customWidth="1"/>
    <col min="10005" max="10239" width="9" style="1"/>
    <col min="10240" max="10240" width="3.33203125" style="1" customWidth="1"/>
    <col min="10241" max="10241" width="9" style="1"/>
    <col min="10242" max="10242" width="5.6640625" style="1" customWidth="1"/>
    <col min="10243" max="10243" width="3.33203125" style="1" customWidth="1"/>
    <col min="10244" max="10244" width="5.33203125" style="1" customWidth="1"/>
    <col min="10245" max="10245" width="2.88671875" style="1" customWidth="1"/>
    <col min="10246" max="10246" width="4.109375" style="1" customWidth="1"/>
    <col min="10247" max="10248" width="3.33203125" style="1" customWidth="1"/>
    <col min="10249" max="10249" width="2.6640625" style="1" customWidth="1"/>
    <col min="10250" max="10250" width="4.109375" style="1" customWidth="1"/>
    <col min="10251" max="10251" width="3.33203125" style="1" customWidth="1"/>
    <col min="10252" max="10252" width="4.109375" style="1" customWidth="1"/>
    <col min="10253" max="10253" width="3.33203125" style="1" customWidth="1"/>
    <col min="10254" max="10254" width="2" style="1" customWidth="1"/>
    <col min="10255" max="10255" width="9" style="1"/>
    <col min="10256" max="10256" width="7.6640625" style="1" customWidth="1"/>
    <col min="10257" max="10257" width="3.33203125" style="1" customWidth="1"/>
    <col min="10258" max="10258" width="5.6640625" style="1" customWidth="1"/>
    <col min="10259" max="10259" width="9" style="1" customWidth="1"/>
    <col min="10260" max="10260" width="5.33203125" style="1" customWidth="1"/>
    <col min="10261" max="10495" width="9" style="1"/>
    <col min="10496" max="10496" width="3.33203125" style="1" customWidth="1"/>
    <col min="10497" max="10497" width="9" style="1"/>
    <col min="10498" max="10498" width="5.6640625" style="1" customWidth="1"/>
    <col min="10499" max="10499" width="3.33203125" style="1" customWidth="1"/>
    <col min="10500" max="10500" width="5.33203125" style="1" customWidth="1"/>
    <col min="10501" max="10501" width="2.88671875" style="1" customWidth="1"/>
    <col min="10502" max="10502" width="4.109375" style="1" customWidth="1"/>
    <col min="10503" max="10504" width="3.33203125" style="1" customWidth="1"/>
    <col min="10505" max="10505" width="2.6640625" style="1" customWidth="1"/>
    <col min="10506" max="10506" width="4.109375" style="1" customWidth="1"/>
    <col min="10507" max="10507" width="3.33203125" style="1" customWidth="1"/>
    <col min="10508" max="10508" width="4.109375" style="1" customWidth="1"/>
    <col min="10509" max="10509" width="3.33203125" style="1" customWidth="1"/>
    <col min="10510" max="10510" width="2" style="1" customWidth="1"/>
    <col min="10511" max="10511" width="9" style="1"/>
    <col min="10512" max="10512" width="7.6640625" style="1" customWidth="1"/>
    <col min="10513" max="10513" width="3.33203125" style="1" customWidth="1"/>
    <col min="10514" max="10514" width="5.6640625" style="1" customWidth="1"/>
    <col min="10515" max="10515" width="9" style="1" customWidth="1"/>
    <col min="10516" max="10516" width="5.33203125" style="1" customWidth="1"/>
    <col min="10517" max="10751" width="9" style="1"/>
    <col min="10752" max="10752" width="3.33203125" style="1" customWidth="1"/>
    <col min="10753" max="10753" width="9" style="1"/>
    <col min="10754" max="10754" width="5.6640625" style="1" customWidth="1"/>
    <col min="10755" max="10755" width="3.33203125" style="1" customWidth="1"/>
    <col min="10756" max="10756" width="5.33203125" style="1" customWidth="1"/>
    <col min="10757" max="10757" width="2.88671875" style="1" customWidth="1"/>
    <col min="10758" max="10758" width="4.109375" style="1" customWidth="1"/>
    <col min="10759" max="10760" width="3.33203125" style="1" customWidth="1"/>
    <col min="10761" max="10761" width="2.6640625" style="1" customWidth="1"/>
    <col min="10762" max="10762" width="4.109375" style="1" customWidth="1"/>
    <col min="10763" max="10763" width="3.33203125" style="1" customWidth="1"/>
    <col min="10764" max="10764" width="4.109375" style="1" customWidth="1"/>
    <col min="10765" max="10765" width="3.33203125" style="1" customWidth="1"/>
    <col min="10766" max="10766" width="2" style="1" customWidth="1"/>
    <col min="10767" max="10767" width="9" style="1"/>
    <col min="10768" max="10768" width="7.6640625" style="1" customWidth="1"/>
    <col min="10769" max="10769" width="3.33203125" style="1" customWidth="1"/>
    <col min="10770" max="10770" width="5.6640625" style="1" customWidth="1"/>
    <col min="10771" max="10771" width="9" style="1" customWidth="1"/>
    <col min="10772" max="10772" width="5.33203125" style="1" customWidth="1"/>
    <col min="10773" max="11007" width="9" style="1"/>
    <col min="11008" max="11008" width="3.33203125" style="1" customWidth="1"/>
    <col min="11009" max="11009" width="9" style="1"/>
    <col min="11010" max="11010" width="5.6640625" style="1" customWidth="1"/>
    <col min="11011" max="11011" width="3.33203125" style="1" customWidth="1"/>
    <col min="11012" max="11012" width="5.33203125" style="1" customWidth="1"/>
    <col min="11013" max="11013" width="2.88671875" style="1" customWidth="1"/>
    <col min="11014" max="11014" width="4.109375" style="1" customWidth="1"/>
    <col min="11015" max="11016" width="3.33203125" style="1" customWidth="1"/>
    <col min="11017" max="11017" width="2.6640625" style="1" customWidth="1"/>
    <col min="11018" max="11018" width="4.109375" style="1" customWidth="1"/>
    <col min="11019" max="11019" width="3.33203125" style="1" customWidth="1"/>
    <col min="11020" max="11020" width="4.109375" style="1" customWidth="1"/>
    <col min="11021" max="11021" width="3.33203125" style="1" customWidth="1"/>
    <col min="11022" max="11022" width="2" style="1" customWidth="1"/>
    <col min="11023" max="11023" width="9" style="1"/>
    <col min="11024" max="11024" width="7.6640625" style="1" customWidth="1"/>
    <col min="11025" max="11025" width="3.33203125" style="1" customWidth="1"/>
    <col min="11026" max="11026" width="5.6640625" style="1" customWidth="1"/>
    <col min="11027" max="11027" width="9" style="1" customWidth="1"/>
    <col min="11028" max="11028" width="5.33203125" style="1" customWidth="1"/>
    <col min="11029" max="11263" width="9" style="1"/>
    <col min="11264" max="11264" width="3.33203125" style="1" customWidth="1"/>
    <col min="11265" max="11265" width="9" style="1"/>
    <col min="11266" max="11266" width="5.6640625" style="1" customWidth="1"/>
    <col min="11267" max="11267" width="3.33203125" style="1" customWidth="1"/>
    <col min="11268" max="11268" width="5.33203125" style="1" customWidth="1"/>
    <col min="11269" max="11269" width="2.88671875" style="1" customWidth="1"/>
    <col min="11270" max="11270" width="4.109375" style="1" customWidth="1"/>
    <col min="11271" max="11272" width="3.33203125" style="1" customWidth="1"/>
    <col min="11273" max="11273" width="2.6640625" style="1" customWidth="1"/>
    <col min="11274" max="11274" width="4.109375" style="1" customWidth="1"/>
    <col min="11275" max="11275" width="3.33203125" style="1" customWidth="1"/>
    <col min="11276" max="11276" width="4.109375" style="1" customWidth="1"/>
    <col min="11277" max="11277" width="3.33203125" style="1" customWidth="1"/>
    <col min="11278" max="11278" width="2" style="1" customWidth="1"/>
    <col min="11279" max="11279" width="9" style="1"/>
    <col min="11280" max="11280" width="7.6640625" style="1" customWidth="1"/>
    <col min="11281" max="11281" width="3.33203125" style="1" customWidth="1"/>
    <col min="11282" max="11282" width="5.6640625" style="1" customWidth="1"/>
    <col min="11283" max="11283" width="9" style="1" customWidth="1"/>
    <col min="11284" max="11284" width="5.33203125" style="1" customWidth="1"/>
    <col min="11285" max="11519" width="9" style="1"/>
    <col min="11520" max="11520" width="3.33203125" style="1" customWidth="1"/>
    <col min="11521" max="11521" width="9" style="1"/>
    <col min="11522" max="11522" width="5.6640625" style="1" customWidth="1"/>
    <col min="11523" max="11523" width="3.33203125" style="1" customWidth="1"/>
    <col min="11524" max="11524" width="5.33203125" style="1" customWidth="1"/>
    <col min="11525" max="11525" width="2.88671875" style="1" customWidth="1"/>
    <col min="11526" max="11526" width="4.109375" style="1" customWidth="1"/>
    <col min="11527" max="11528" width="3.33203125" style="1" customWidth="1"/>
    <col min="11529" max="11529" width="2.6640625" style="1" customWidth="1"/>
    <col min="11530" max="11530" width="4.109375" style="1" customWidth="1"/>
    <col min="11531" max="11531" width="3.33203125" style="1" customWidth="1"/>
    <col min="11532" max="11532" width="4.109375" style="1" customWidth="1"/>
    <col min="11533" max="11533" width="3.33203125" style="1" customWidth="1"/>
    <col min="11534" max="11534" width="2" style="1" customWidth="1"/>
    <col min="11535" max="11535" width="9" style="1"/>
    <col min="11536" max="11536" width="7.6640625" style="1" customWidth="1"/>
    <col min="11537" max="11537" width="3.33203125" style="1" customWidth="1"/>
    <col min="11538" max="11538" width="5.6640625" style="1" customWidth="1"/>
    <col min="11539" max="11539" width="9" style="1" customWidth="1"/>
    <col min="11540" max="11540" width="5.33203125" style="1" customWidth="1"/>
    <col min="11541" max="11775" width="9" style="1"/>
    <col min="11776" max="11776" width="3.33203125" style="1" customWidth="1"/>
    <col min="11777" max="11777" width="9" style="1"/>
    <col min="11778" max="11778" width="5.6640625" style="1" customWidth="1"/>
    <col min="11779" max="11779" width="3.33203125" style="1" customWidth="1"/>
    <col min="11780" max="11780" width="5.33203125" style="1" customWidth="1"/>
    <col min="11781" max="11781" width="2.88671875" style="1" customWidth="1"/>
    <col min="11782" max="11782" width="4.109375" style="1" customWidth="1"/>
    <col min="11783" max="11784" width="3.33203125" style="1" customWidth="1"/>
    <col min="11785" max="11785" width="2.6640625" style="1" customWidth="1"/>
    <col min="11786" max="11786" width="4.109375" style="1" customWidth="1"/>
    <col min="11787" max="11787" width="3.33203125" style="1" customWidth="1"/>
    <col min="11788" max="11788" width="4.109375" style="1" customWidth="1"/>
    <col min="11789" max="11789" width="3.33203125" style="1" customWidth="1"/>
    <col min="11790" max="11790" width="2" style="1" customWidth="1"/>
    <col min="11791" max="11791" width="9" style="1"/>
    <col min="11792" max="11792" width="7.6640625" style="1" customWidth="1"/>
    <col min="11793" max="11793" width="3.33203125" style="1" customWidth="1"/>
    <col min="11794" max="11794" width="5.6640625" style="1" customWidth="1"/>
    <col min="11795" max="11795" width="9" style="1" customWidth="1"/>
    <col min="11796" max="11796" width="5.33203125" style="1" customWidth="1"/>
    <col min="11797" max="12031" width="9" style="1"/>
    <col min="12032" max="12032" width="3.33203125" style="1" customWidth="1"/>
    <col min="12033" max="12033" width="9" style="1"/>
    <col min="12034" max="12034" width="5.6640625" style="1" customWidth="1"/>
    <col min="12035" max="12035" width="3.33203125" style="1" customWidth="1"/>
    <col min="12036" max="12036" width="5.33203125" style="1" customWidth="1"/>
    <col min="12037" max="12037" width="2.88671875" style="1" customWidth="1"/>
    <col min="12038" max="12038" width="4.109375" style="1" customWidth="1"/>
    <col min="12039" max="12040" width="3.33203125" style="1" customWidth="1"/>
    <col min="12041" max="12041" width="2.6640625" style="1" customWidth="1"/>
    <col min="12042" max="12042" width="4.109375" style="1" customWidth="1"/>
    <col min="12043" max="12043" width="3.33203125" style="1" customWidth="1"/>
    <col min="12044" max="12044" width="4.109375" style="1" customWidth="1"/>
    <col min="12045" max="12045" width="3.33203125" style="1" customWidth="1"/>
    <col min="12046" max="12046" width="2" style="1" customWidth="1"/>
    <col min="12047" max="12047" width="9" style="1"/>
    <col min="12048" max="12048" width="7.6640625" style="1" customWidth="1"/>
    <col min="12049" max="12049" width="3.33203125" style="1" customWidth="1"/>
    <col min="12050" max="12050" width="5.6640625" style="1" customWidth="1"/>
    <col min="12051" max="12051" width="9" style="1" customWidth="1"/>
    <col min="12052" max="12052" width="5.33203125" style="1" customWidth="1"/>
    <col min="12053" max="12287" width="9" style="1"/>
    <col min="12288" max="12288" width="3.33203125" style="1" customWidth="1"/>
    <col min="12289" max="12289" width="9" style="1"/>
    <col min="12290" max="12290" width="5.6640625" style="1" customWidth="1"/>
    <col min="12291" max="12291" width="3.33203125" style="1" customWidth="1"/>
    <col min="12292" max="12292" width="5.33203125" style="1" customWidth="1"/>
    <col min="12293" max="12293" width="2.88671875" style="1" customWidth="1"/>
    <col min="12294" max="12294" width="4.109375" style="1" customWidth="1"/>
    <col min="12295" max="12296" width="3.33203125" style="1" customWidth="1"/>
    <col min="12297" max="12297" width="2.6640625" style="1" customWidth="1"/>
    <col min="12298" max="12298" width="4.109375" style="1" customWidth="1"/>
    <col min="12299" max="12299" width="3.33203125" style="1" customWidth="1"/>
    <col min="12300" max="12300" width="4.109375" style="1" customWidth="1"/>
    <col min="12301" max="12301" width="3.33203125" style="1" customWidth="1"/>
    <col min="12302" max="12302" width="2" style="1" customWidth="1"/>
    <col min="12303" max="12303" width="9" style="1"/>
    <col min="12304" max="12304" width="7.6640625" style="1" customWidth="1"/>
    <col min="12305" max="12305" width="3.33203125" style="1" customWidth="1"/>
    <col min="12306" max="12306" width="5.6640625" style="1" customWidth="1"/>
    <col min="12307" max="12307" width="9" style="1" customWidth="1"/>
    <col min="12308" max="12308" width="5.33203125" style="1" customWidth="1"/>
    <col min="12309" max="12543" width="9" style="1"/>
    <col min="12544" max="12544" width="3.33203125" style="1" customWidth="1"/>
    <col min="12545" max="12545" width="9" style="1"/>
    <col min="12546" max="12546" width="5.6640625" style="1" customWidth="1"/>
    <col min="12547" max="12547" width="3.33203125" style="1" customWidth="1"/>
    <col min="12548" max="12548" width="5.33203125" style="1" customWidth="1"/>
    <col min="12549" max="12549" width="2.88671875" style="1" customWidth="1"/>
    <col min="12550" max="12550" width="4.109375" style="1" customWidth="1"/>
    <col min="12551" max="12552" width="3.33203125" style="1" customWidth="1"/>
    <col min="12553" max="12553" width="2.6640625" style="1" customWidth="1"/>
    <col min="12554" max="12554" width="4.109375" style="1" customWidth="1"/>
    <col min="12555" max="12555" width="3.33203125" style="1" customWidth="1"/>
    <col min="12556" max="12556" width="4.109375" style="1" customWidth="1"/>
    <col min="12557" max="12557" width="3.33203125" style="1" customWidth="1"/>
    <col min="12558" max="12558" width="2" style="1" customWidth="1"/>
    <col min="12559" max="12559" width="9" style="1"/>
    <col min="12560" max="12560" width="7.6640625" style="1" customWidth="1"/>
    <col min="12561" max="12561" width="3.33203125" style="1" customWidth="1"/>
    <col min="12562" max="12562" width="5.6640625" style="1" customWidth="1"/>
    <col min="12563" max="12563" width="9" style="1" customWidth="1"/>
    <col min="12564" max="12564" width="5.33203125" style="1" customWidth="1"/>
    <col min="12565" max="12799" width="9" style="1"/>
    <col min="12800" max="12800" width="3.33203125" style="1" customWidth="1"/>
    <col min="12801" max="12801" width="9" style="1"/>
    <col min="12802" max="12802" width="5.6640625" style="1" customWidth="1"/>
    <col min="12803" max="12803" width="3.33203125" style="1" customWidth="1"/>
    <col min="12804" max="12804" width="5.33203125" style="1" customWidth="1"/>
    <col min="12805" max="12805" width="2.88671875" style="1" customWidth="1"/>
    <col min="12806" max="12806" width="4.109375" style="1" customWidth="1"/>
    <col min="12807" max="12808" width="3.33203125" style="1" customWidth="1"/>
    <col min="12809" max="12809" width="2.6640625" style="1" customWidth="1"/>
    <col min="12810" max="12810" width="4.109375" style="1" customWidth="1"/>
    <col min="12811" max="12811" width="3.33203125" style="1" customWidth="1"/>
    <col min="12812" max="12812" width="4.109375" style="1" customWidth="1"/>
    <col min="12813" max="12813" width="3.33203125" style="1" customWidth="1"/>
    <col min="12814" max="12814" width="2" style="1" customWidth="1"/>
    <col min="12815" max="12815" width="9" style="1"/>
    <col min="12816" max="12816" width="7.6640625" style="1" customWidth="1"/>
    <col min="12817" max="12817" width="3.33203125" style="1" customWidth="1"/>
    <col min="12818" max="12818" width="5.6640625" style="1" customWidth="1"/>
    <col min="12819" max="12819" width="9" style="1" customWidth="1"/>
    <col min="12820" max="12820" width="5.33203125" style="1" customWidth="1"/>
    <col min="12821" max="13055" width="9" style="1"/>
    <col min="13056" max="13056" width="3.33203125" style="1" customWidth="1"/>
    <col min="13057" max="13057" width="9" style="1"/>
    <col min="13058" max="13058" width="5.6640625" style="1" customWidth="1"/>
    <col min="13059" max="13059" width="3.33203125" style="1" customWidth="1"/>
    <col min="13060" max="13060" width="5.33203125" style="1" customWidth="1"/>
    <col min="13061" max="13061" width="2.88671875" style="1" customWidth="1"/>
    <col min="13062" max="13062" width="4.109375" style="1" customWidth="1"/>
    <col min="13063" max="13064" width="3.33203125" style="1" customWidth="1"/>
    <col min="13065" max="13065" width="2.6640625" style="1" customWidth="1"/>
    <col min="13066" max="13066" width="4.109375" style="1" customWidth="1"/>
    <col min="13067" max="13067" width="3.33203125" style="1" customWidth="1"/>
    <col min="13068" max="13068" width="4.109375" style="1" customWidth="1"/>
    <col min="13069" max="13069" width="3.33203125" style="1" customWidth="1"/>
    <col min="13070" max="13070" width="2" style="1" customWidth="1"/>
    <col min="13071" max="13071" width="9" style="1"/>
    <col min="13072" max="13072" width="7.6640625" style="1" customWidth="1"/>
    <col min="13073" max="13073" width="3.33203125" style="1" customWidth="1"/>
    <col min="13074" max="13074" width="5.6640625" style="1" customWidth="1"/>
    <col min="13075" max="13075" width="9" style="1" customWidth="1"/>
    <col min="13076" max="13076" width="5.33203125" style="1" customWidth="1"/>
    <col min="13077" max="13311" width="9" style="1"/>
    <col min="13312" max="13312" width="3.33203125" style="1" customWidth="1"/>
    <col min="13313" max="13313" width="9" style="1"/>
    <col min="13314" max="13314" width="5.6640625" style="1" customWidth="1"/>
    <col min="13315" max="13315" width="3.33203125" style="1" customWidth="1"/>
    <col min="13316" max="13316" width="5.33203125" style="1" customWidth="1"/>
    <col min="13317" max="13317" width="2.88671875" style="1" customWidth="1"/>
    <col min="13318" max="13318" width="4.109375" style="1" customWidth="1"/>
    <col min="13319" max="13320" width="3.33203125" style="1" customWidth="1"/>
    <col min="13321" max="13321" width="2.6640625" style="1" customWidth="1"/>
    <col min="13322" max="13322" width="4.109375" style="1" customWidth="1"/>
    <col min="13323" max="13323" width="3.33203125" style="1" customWidth="1"/>
    <col min="13324" max="13324" width="4.109375" style="1" customWidth="1"/>
    <col min="13325" max="13325" width="3.33203125" style="1" customWidth="1"/>
    <col min="13326" max="13326" width="2" style="1" customWidth="1"/>
    <col min="13327" max="13327" width="9" style="1"/>
    <col min="13328" max="13328" width="7.6640625" style="1" customWidth="1"/>
    <col min="13329" max="13329" width="3.33203125" style="1" customWidth="1"/>
    <col min="13330" max="13330" width="5.6640625" style="1" customWidth="1"/>
    <col min="13331" max="13331" width="9" style="1" customWidth="1"/>
    <col min="13332" max="13332" width="5.33203125" style="1" customWidth="1"/>
    <col min="13333" max="13567" width="9" style="1"/>
    <col min="13568" max="13568" width="3.33203125" style="1" customWidth="1"/>
    <col min="13569" max="13569" width="9" style="1"/>
    <col min="13570" max="13570" width="5.6640625" style="1" customWidth="1"/>
    <col min="13571" max="13571" width="3.33203125" style="1" customWidth="1"/>
    <col min="13572" max="13572" width="5.33203125" style="1" customWidth="1"/>
    <col min="13573" max="13573" width="2.88671875" style="1" customWidth="1"/>
    <col min="13574" max="13574" width="4.109375" style="1" customWidth="1"/>
    <col min="13575" max="13576" width="3.33203125" style="1" customWidth="1"/>
    <col min="13577" max="13577" width="2.6640625" style="1" customWidth="1"/>
    <col min="13578" max="13578" width="4.109375" style="1" customWidth="1"/>
    <col min="13579" max="13579" width="3.33203125" style="1" customWidth="1"/>
    <col min="13580" max="13580" width="4.109375" style="1" customWidth="1"/>
    <col min="13581" max="13581" width="3.33203125" style="1" customWidth="1"/>
    <col min="13582" max="13582" width="2" style="1" customWidth="1"/>
    <col min="13583" max="13583" width="9" style="1"/>
    <col min="13584" max="13584" width="7.6640625" style="1" customWidth="1"/>
    <col min="13585" max="13585" width="3.33203125" style="1" customWidth="1"/>
    <col min="13586" max="13586" width="5.6640625" style="1" customWidth="1"/>
    <col min="13587" max="13587" width="9" style="1" customWidth="1"/>
    <col min="13588" max="13588" width="5.33203125" style="1" customWidth="1"/>
    <col min="13589" max="13823" width="9" style="1"/>
    <col min="13824" max="13824" width="3.33203125" style="1" customWidth="1"/>
    <col min="13825" max="13825" width="9" style="1"/>
    <col min="13826" max="13826" width="5.6640625" style="1" customWidth="1"/>
    <col min="13827" max="13827" width="3.33203125" style="1" customWidth="1"/>
    <col min="13828" max="13828" width="5.33203125" style="1" customWidth="1"/>
    <col min="13829" max="13829" width="2.88671875" style="1" customWidth="1"/>
    <col min="13830" max="13830" width="4.109375" style="1" customWidth="1"/>
    <col min="13831" max="13832" width="3.33203125" style="1" customWidth="1"/>
    <col min="13833" max="13833" width="2.6640625" style="1" customWidth="1"/>
    <col min="13834" max="13834" width="4.109375" style="1" customWidth="1"/>
    <col min="13835" max="13835" width="3.33203125" style="1" customWidth="1"/>
    <col min="13836" max="13836" width="4.109375" style="1" customWidth="1"/>
    <col min="13837" max="13837" width="3.33203125" style="1" customWidth="1"/>
    <col min="13838" max="13838" width="2" style="1" customWidth="1"/>
    <col min="13839" max="13839" width="9" style="1"/>
    <col min="13840" max="13840" width="7.6640625" style="1" customWidth="1"/>
    <col min="13841" max="13841" width="3.33203125" style="1" customWidth="1"/>
    <col min="13842" max="13842" width="5.6640625" style="1" customWidth="1"/>
    <col min="13843" max="13843" width="9" style="1" customWidth="1"/>
    <col min="13844" max="13844" width="5.33203125" style="1" customWidth="1"/>
    <col min="13845" max="14079" width="9" style="1"/>
    <col min="14080" max="14080" width="3.33203125" style="1" customWidth="1"/>
    <col min="14081" max="14081" width="9" style="1"/>
    <col min="14082" max="14082" width="5.6640625" style="1" customWidth="1"/>
    <col min="14083" max="14083" width="3.33203125" style="1" customWidth="1"/>
    <col min="14084" max="14084" width="5.33203125" style="1" customWidth="1"/>
    <col min="14085" max="14085" width="2.88671875" style="1" customWidth="1"/>
    <col min="14086" max="14086" width="4.109375" style="1" customWidth="1"/>
    <col min="14087" max="14088" width="3.33203125" style="1" customWidth="1"/>
    <col min="14089" max="14089" width="2.6640625" style="1" customWidth="1"/>
    <col min="14090" max="14090" width="4.109375" style="1" customWidth="1"/>
    <col min="14091" max="14091" width="3.33203125" style="1" customWidth="1"/>
    <col min="14092" max="14092" width="4.109375" style="1" customWidth="1"/>
    <col min="14093" max="14093" width="3.33203125" style="1" customWidth="1"/>
    <col min="14094" max="14094" width="2" style="1" customWidth="1"/>
    <col min="14095" max="14095" width="9" style="1"/>
    <col min="14096" max="14096" width="7.6640625" style="1" customWidth="1"/>
    <col min="14097" max="14097" width="3.33203125" style="1" customWidth="1"/>
    <col min="14098" max="14098" width="5.6640625" style="1" customWidth="1"/>
    <col min="14099" max="14099" width="9" style="1" customWidth="1"/>
    <col min="14100" max="14100" width="5.33203125" style="1" customWidth="1"/>
    <col min="14101" max="14335" width="9" style="1"/>
    <col min="14336" max="14336" width="3.33203125" style="1" customWidth="1"/>
    <col min="14337" max="14337" width="9" style="1"/>
    <col min="14338" max="14338" width="5.6640625" style="1" customWidth="1"/>
    <col min="14339" max="14339" width="3.33203125" style="1" customWidth="1"/>
    <col min="14340" max="14340" width="5.33203125" style="1" customWidth="1"/>
    <col min="14341" max="14341" width="2.88671875" style="1" customWidth="1"/>
    <col min="14342" max="14342" width="4.109375" style="1" customWidth="1"/>
    <col min="14343" max="14344" width="3.33203125" style="1" customWidth="1"/>
    <col min="14345" max="14345" width="2.6640625" style="1" customWidth="1"/>
    <col min="14346" max="14346" width="4.109375" style="1" customWidth="1"/>
    <col min="14347" max="14347" width="3.33203125" style="1" customWidth="1"/>
    <col min="14348" max="14348" width="4.109375" style="1" customWidth="1"/>
    <col min="14349" max="14349" width="3.33203125" style="1" customWidth="1"/>
    <col min="14350" max="14350" width="2" style="1" customWidth="1"/>
    <col min="14351" max="14351" width="9" style="1"/>
    <col min="14352" max="14352" width="7.6640625" style="1" customWidth="1"/>
    <col min="14353" max="14353" width="3.33203125" style="1" customWidth="1"/>
    <col min="14354" max="14354" width="5.6640625" style="1" customWidth="1"/>
    <col min="14355" max="14355" width="9" style="1" customWidth="1"/>
    <col min="14356" max="14356" width="5.33203125" style="1" customWidth="1"/>
    <col min="14357" max="14591" width="9" style="1"/>
    <col min="14592" max="14592" width="3.33203125" style="1" customWidth="1"/>
    <col min="14593" max="14593" width="9" style="1"/>
    <col min="14594" max="14594" width="5.6640625" style="1" customWidth="1"/>
    <col min="14595" max="14595" width="3.33203125" style="1" customWidth="1"/>
    <col min="14596" max="14596" width="5.33203125" style="1" customWidth="1"/>
    <col min="14597" max="14597" width="2.88671875" style="1" customWidth="1"/>
    <col min="14598" max="14598" width="4.109375" style="1" customWidth="1"/>
    <col min="14599" max="14600" width="3.33203125" style="1" customWidth="1"/>
    <col min="14601" max="14601" width="2.6640625" style="1" customWidth="1"/>
    <col min="14602" max="14602" width="4.109375" style="1" customWidth="1"/>
    <col min="14603" max="14603" width="3.33203125" style="1" customWidth="1"/>
    <col min="14604" max="14604" width="4.109375" style="1" customWidth="1"/>
    <col min="14605" max="14605" width="3.33203125" style="1" customWidth="1"/>
    <col min="14606" max="14606" width="2" style="1" customWidth="1"/>
    <col min="14607" max="14607" width="9" style="1"/>
    <col min="14608" max="14608" width="7.6640625" style="1" customWidth="1"/>
    <col min="14609" max="14609" width="3.33203125" style="1" customWidth="1"/>
    <col min="14610" max="14610" width="5.6640625" style="1" customWidth="1"/>
    <col min="14611" max="14611" width="9" style="1" customWidth="1"/>
    <col min="14612" max="14612" width="5.33203125" style="1" customWidth="1"/>
    <col min="14613" max="14847" width="9" style="1"/>
    <col min="14848" max="14848" width="3.33203125" style="1" customWidth="1"/>
    <col min="14849" max="14849" width="9" style="1"/>
    <col min="14850" max="14850" width="5.6640625" style="1" customWidth="1"/>
    <col min="14851" max="14851" width="3.33203125" style="1" customWidth="1"/>
    <col min="14852" max="14852" width="5.33203125" style="1" customWidth="1"/>
    <col min="14853" max="14853" width="2.88671875" style="1" customWidth="1"/>
    <col min="14854" max="14854" width="4.109375" style="1" customWidth="1"/>
    <col min="14855" max="14856" width="3.33203125" style="1" customWidth="1"/>
    <col min="14857" max="14857" width="2.6640625" style="1" customWidth="1"/>
    <col min="14858" max="14858" width="4.109375" style="1" customWidth="1"/>
    <col min="14859" max="14859" width="3.33203125" style="1" customWidth="1"/>
    <col min="14860" max="14860" width="4.109375" style="1" customWidth="1"/>
    <col min="14861" max="14861" width="3.33203125" style="1" customWidth="1"/>
    <col min="14862" max="14862" width="2" style="1" customWidth="1"/>
    <col min="14863" max="14863" width="9" style="1"/>
    <col min="14864" max="14864" width="7.6640625" style="1" customWidth="1"/>
    <col min="14865" max="14865" width="3.33203125" style="1" customWidth="1"/>
    <col min="14866" max="14866" width="5.6640625" style="1" customWidth="1"/>
    <col min="14867" max="14867" width="9" style="1" customWidth="1"/>
    <col min="14868" max="14868" width="5.33203125" style="1" customWidth="1"/>
    <col min="14869" max="15103" width="9" style="1"/>
    <col min="15104" max="15104" width="3.33203125" style="1" customWidth="1"/>
    <col min="15105" max="15105" width="9" style="1"/>
    <col min="15106" max="15106" width="5.6640625" style="1" customWidth="1"/>
    <col min="15107" max="15107" width="3.33203125" style="1" customWidth="1"/>
    <col min="15108" max="15108" width="5.33203125" style="1" customWidth="1"/>
    <col min="15109" max="15109" width="2.88671875" style="1" customWidth="1"/>
    <col min="15110" max="15110" width="4.109375" style="1" customWidth="1"/>
    <col min="15111" max="15112" width="3.33203125" style="1" customWidth="1"/>
    <col min="15113" max="15113" width="2.6640625" style="1" customWidth="1"/>
    <col min="15114" max="15114" width="4.109375" style="1" customWidth="1"/>
    <col min="15115" max="15115" width="3.33203125" style="1" customWidth="1"/>
    <col min="15116" max="15116" width="4.109375" style="1" customWidth="1"/>
    <col min="15117" max="15117" width="3.33203125" style="1" customWidth="1"/>
    <col min="15118" max="15118" width="2" style="1" customWidth="1"/>
    <col min="15119" max="15119" width="9" style="1"/>
    <col min="15120" max="15120" width="7.6640625" style="1" customWidth="1"/>
    <col min="15121" max="15121" width="3.33203125" style="1" customWidth="1"/>
    <col min="15122" max="15122" width="5.6640625" style="1" customWidth="1"/>
    <col min="15123" max="15123" width="9" style="1" customWidth="1"/>
    <col min="15124" max="15124" width="5.33203125" style="1" customWidth="1"/>
    <col min="15125" max="15359" width="9" style="1"/>
    <col min="15360" max="15360" width="3.33203125" style="1" customWidth="1"/>
    <col min="15361" max="15361" width="9" style="1"/>
    <col min="15362" max="15362" width="5.6640625" style="1" customWidth="1"/>
    <col min="15363" max="15363" width="3.33203125" style="1" customWidth="1"/>
    <col min="15364" max="15364" width="5.33203125" style="1" customWidth="1"/>
    <col min="15365" max="15365" width="2.88671875" style="1" customWidth="1"/>
    <col min="15366" max="15366" width="4.109375" style="1" customWidth="1"/>
    <col min="15367" max="15368" width="3.33203125" style="1" customWidth="1"/>
    <col min="15369" max="15369" width="2.6640625" style="1" customWidth="1"/>
    <col min="15370" max="15370" width="4.109375" style="1" customWidth="1"/>
    <col min="15371" max="15371" width="3.33203125" style="1" customWidth="1"/>
    <col min="15372" max="15372" width="4.109375" style="1" customWidth="1"/>
    <col min="15373" max="15373" width="3.33203125" style="1" customWidth="1"/>
    <col min="15374" max="15374" width="2" style="1" customWidth="1"/>
    <col min="15375" max="15375" width="9" style="1"/>
    <col min="15376" max="15376" width="7.6640625" style="1" customWidth="1"/>
    <col min="15377" max="15377" width="3.33203125" style="1" customWidth="1"/>
    <col min="15378" max="15378" width="5.6640625" style="1" customWidth="1"/>
    <col min="15379" max="15379" width="9" style="1" customWidth="1"/>
    <col min="15380" max="15380" width="5.33203125" style="1" customWidth="1"/>
    <col min="15381" max="15615" width="9" style="1"/>
    <col min="15616" max="15616" width="3.33203125" style="1" customWidth="1"/>
    <col min="15617" max="15617" width="9" style="1"/>
    <col min="15618" max="15618" width="5.6640625" style="1" customWidth="1"/>
    <col min="15619" max="15619" width="3.33203125" style="1" customWidth="1"/>
    <col min="15620" max="15620" width="5.33203125" style="1" customWidth="1"/>
    <col min="15621" max="15621" width="2.88671875" style="1" customWidth="1"/>
    <col min="15622" max="15622" width="4.109375" style="1" customWidth="1"/>
    <col min="15623" max="15624" width="3.33203125" style="1" customWidth="1"/>
    <col min="15625" max="15625" width="2.6640625" style="1" customWidth="1"/>
    <col min="15626" max="15626" width="4.109375" style="1" customWidth="1"/>
    <col min="15627" max="15627" width="3.33203125" style="1" customWidth="1"/>
    <col min="15628" max="15628" width="4.109375" style="1" customWidth="1"/>
    <col min="15629" max="15629" width="3.33203125" style="1" customWidth="1"/>
    <col min="15630" max="15630" width="2" style="1" customWidth="1"/>
    <col min="15631" max="15631" width="9" style="1"/>
    <col min="15632" max="15632" width="7.6640625" style="1" customWidth="1"/>
    <col min="15633" max="15633" width="3.33203125" style="1" customWidth="1"/>
    <col min="15634" max="15634" width="5.6640625" style="1" customWidth="1"/>
    <col min="15635" max="15635" width="9" style="1" customWidth="1"/>
    <col min="15636" max="15636" width="5.33203125" style="1" customWidth="1"/>
    <col min="15637" max="15871" width="9" style="1"/>
    <col min="15872" max="15872" width="3.33203125" style="1" customWidth="1"/>
    <col min="15873" max="15873" width="9" style="1"/>
    <col min="15874" max="15874" width="5.6640625" style="1" customWidth="1"/>
    <col min="15875" max="15875" width="3.33203125" style="1" customWidth="1"/>
    <col min="15876" max="15876" width="5.33203125" style="1" customWidth="1"/>
    <col min="15877" max="15877" width="2.88671875" style="1" customWidth="1"/>
    <col min="15878" max="15878" width="4.109375" style="1" customWidth="1"/>
    <col min="15879" max="15880" width="3.33203125" style="1" customWidth="1"/>
    <col min="15881" max="15881" width="2.6640625" style="1" customWidth="1"/>
    <col min="15882" max="15882" width="4.109375" style="1" customWidth="1"/>
    <col min="15883" max="15883" width="3.33203125" style="1" customWidth="1"/>
    <col min="15884" max="15884" width="4.109375" style="1" customWidth="1"/>
    <col min="15885" max="15885" width="3.33203125" style="1" customWidth="1"/>
    <col min="15886" max="15886" width="2" style="1" customWidth="1"/>
    <col min="15887" max="15887" width="9" style="1"/>
    <col min="15888" max="15888" width="7.6640625" style="1" customWidth="1"/>
    <col min="15889" max="15889" width="3.33203125" style="1" customWidth="1"/>
    <col min="15890" max="15890" width="5.6640625" style="1" customWidth="1"/>
    <col min="15891" max="15891" width="9" style="1" customWidth="1"/>
    <col min="15892" max="15892" width="5.33203125" style="1" customWidth="1"/>
    <col min="15893" max="16127" width="9" style="1"/>
    <col min="16128" max="16128" width="3.33203125" style="1" customWidth="1"/>
    <col min="16129" max="16129" width="9" style="1"/>
    <col min="16130" max="16130" width="5.6640625" style="1" customWidth="1"/>
    <col min="16131" max="16131" width="3.33203125" style="1" customWidth="1"/>
    <col min="16132" max="16132" width="5.33203125" style="1" customWidth="1"/>
    <col min="16133" max="16133" width="2.88671875" style="1" customWidth="1"/>
    <col min="16134" max="16134" width="4.109375" style="1" customWidth="1"/>
    <col min="16135" max="16136" width="3.33203125" style="1" customWidth="1"/>
    <col min="16137" max="16137" width="2.6640625" style="1" customWidth="1"/>
    <col min="16138" max="16138" width="4.109375" style="1" customWidth="1"/>
    <col min="16139" max="16139" width="3.33203125" style="1" customWidth="1"/>
    <col min="16140" max="16140" width="4.109375" style="1" customWidth="1"/>
    <col min="16141" max="16141" width="3.33203125" style="1" customWidth="1"/>
    <col min="16142" max="16142" width="2" style="1" customWidth="1"/>
    <col min="16143" max="16143" width="9" style="1"/>
    <col min="16144" max="16144" width="7.6640625" style="1" customWidth="1"/>
    <col min="16145" max="16145" width="3.33203125" style="1" customWidth="1"/>
    <col min="16146" max="16146" width="5.6640625" style="1" customWidth="1"/>
    <col min="16147" max="16147" width="9" style="1" customWidth="1"/>
    <col min="16148" max="16148" width="5.33203125" style="1" customWidth="1"/>
    <col min="16149" max="16384" width="9" style="1"/>
  </cols>
  <sheetData>
    <row r="1" spans="1:29" ht="13.5" customHeight="1" x14ac:dyDescent="0.2">
      <c r="A1" s="243"/>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row>
    <row r="2" spans="1:29" ht="13.5" customHeight="1" x14ac:dyDescent="0.2">
      <c r="A2" s="446"/>
      <c r="B2" s="549" t="s">
        <v>26</v>
      </c>
      <c r="C2" s="549"/>
      <c r="D2" s="549"/>
      <c r="E2" s="549"/>
      <c r="F2" s="549"/>
      <c r="G2" s="549"/>
      <c r="H2" s="549"/>
      <c r="I2" s="549"/>
      <c r="J2" s="549"/>
      <c r="K2" s="549"/>
      <c r="L2" s="549"/>
      <c r="M2" s="549"/>
      <c r="N2" s="549"/>
      <c r="O2" s="549"/>
      <c r="P2" s="549"/>
      <c r="Q2" s="549"/>
      <c r="R2" s="549"/>
      <c r="S2" s="549"/>
      <c r="T2" s="187"/>
      <c r="U2" s="186"/>
      <c r="V2" s="186"/>
      <c r="W2" s="186"/>
      <c r="X2" s="186"/>
      <c r="Y2" s="186"/>
      <c r="Z2" s="186"/>
      <c r="AA2" s="186"/>
      <c r="AB2" s="186"/>
      <c r="AC2" s="186"/>
    </row>
    <row r="3" spans="1:29" ht="13.5" customHeight="1" x14ac:dyDescent="0.2">
      <c r="A3" s="446"/>
      <c r="B3" s="187"/>
      <c r="C3" s="561" t="s">
        <v>324</v>
      </c>
      <c r="D3" s="561"/>
      <c r="E3" s="561"/>
      <c r="F3" s="561"/>
      <c r="G3" s="561"/>
      <c r="H3" s="561"/>
      <c r="I3" s="561"/>
      <c r="J3" s="561"/>
      <c r="K3" s="561"/>
      <c r="L3" s="561"/>
      <c r="M3" s="561"/>
      <c r="N3" s="561"/>
      <c r="O3" s="561"/>
      <c r="P3" s="561"/>
      <c r="Q3" s="561"/>
      <c r="R3" s="561"/>
      <c r="S3" s="561"/>
      <c r="T3" s="187"/>
      <c r="U3" s="187"/>
      <c r="V3" s="187"/>
      <c r="W3" s="187"/>
      <c r="X3" s="187"/>
      <c r="Y3" s="187"/>
      <c r="Z3" s="187"/>
      <c r="AA3" s="186"/>
      <c r="AB3" s="186"/>
      <c r="AC3" s="186"/>
    </row>
    <row r="4" spans="1:29" ht="13.5" customHeight="1" x14ac:dyDescent="0.2">
      <c r="A4" s="243" t="s">
        <v>1</v>
      </c>
      <c r="B4" s="186"/>
      <c r="C4" s="522" t="s">
        <v>478</v>
      </c>
      <c r="D4" s="522"/>
      <c r="E4" s="522"/>
      <c r="F4" s="522"/>
      <c r="G4" s="522"/>
      <c r="H4" s="522"/>
      <c r="I4" s="522"/>
      <c r="J4" s="522"/>
      <c r="K4" s="522"/>
      <c r="L4" s="522"/>
      <c r="M4" s="522"/>
      <c r="N4" s="522"/>
      <c r="O4" s="522"/>
      <c r="P4" s="522"/>
      <c r="Q4" s="522"/>
      <c r="R4" s="522"/>
      <c r="S4" s="522"/>
      <c r="T4" s="186"/>
      <c r="U4" s="186"/>
      <c r="V4" s="186"/>
      <c r="W4" s="186"/>
      <c r="X4" s="186"/>
      <c r="Y4" s="186"/>
      <c r="Z4" s="186"/>
      <c r="AA4" s="186"/>
      <c r="AB4" s="186" t="s">
        <v>319</v>
      </c>
      <c r="AC4" s="186"/>
    </row>
    <row r="5" spans="1:29" ht="13.5" customHeight="1" x14ac:dyDescent="0.2">
      <c r="A5" s="243"/>
      <c r="B5" s="186"/>
      <c r="C5" s="186"/>
      <c r="D5" s="188" t="s">
        <v>259</v>
      </c>
      <c r="E5" s="186"/>
      <c r="F5" s="186"/>
      <c r="G5" s="186"/>
      <c r="H5" s="189" t="str">
        <f>HYPERLINK("#手引き!$B$46","手引きへ戻る")</f>
        <v>手引きへ戻る</v>
      </c>
      <c r="I5" s="186"/>
      <c r="J5" s="186"/>
      <c r="K5" s="186"/>
      <c r="L5" s="186"/>
      <c r="M5" s="186"/>
      <c r="N5" s="186"/>
      <c r="O5" s="186"/>
      <c r="P5" s="186"/>
      <c r="Q5" s="186"/>
      <c r="R5" s="186"/>
      <c r="S5" s="186"/>
      <c r="T5" s="186"/>
      <c r="U5" s="186" t="s">
        <v>317</v>
      </c>
      <c r="V5" s="186"/>
      <c r="W5" s="186"/>
      <c r="X5" s="186"/>
      <c r="Y5" s="186"/>
      <c r="Z5" s="186"/>
      <c r="AA5" s="186"/>
      <c r="AB5" s="186" t="s">
        <v>322</v>
      </c>
      <c r="AC5" s="186" t="s">
        <v>323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90"/>
      <c r="U6" s="186"/>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50"/>
      <c r="C7" s="552" t="s">
        <v>3</v>
      </c>
      <c r="D7" s="552"/>
      <c r="E7" s="552"/>
      <c r="F7" s="552"/>
      <c r="G7" s="552"/>
      <c r="H7" s="553"/>
      <c r="I7" s="554" t="s">
        <v>4</v>
      </c>
      <c r="J7" s="555"/>
      <c r="K7" s="555"/>
      <c r="L7" s="555"/>
      <c r="M7" s="555"/>
      <c r="N7" s="556"/>
      <c r="O7" s="186"/>
      <c r="P7" s="550"/>
      <c r="Q7" s="552" t="s">
        <v>5</v>
      </c>
      <c r="R7" s="560"/>
      <c r="S7" s="192"/>
      <c r="T7" s="192"/>
      <c r="U7" s="550"/>
      <c r="V7" s="552" t="s">
        <v>5</v>
      </c>
      <c r="W7" s="560"/>
      <c r="X7" s="550"/>
      <c r="Y7" s="552" t="s">
        <v>5</v>
      </c>
      <c r="Z7" s="560"/>
      <c r="AA7" s="186"/>
      <c r="AB7" s="191"/>
      <c r="AC7" s="191" t="str">
        <f>HLOOKUP($AC$5,名前2!$C:$J,3,0)</f>
        <v>「普通自動車」という。）又は小型自動車（以下「小型</v>
      </c>
    </row>
    <row r="8" spans="1:29" ht="30" customHeight="1" thickBot="1" x14ac:dyDescent="0.25">
      <c r="A8" s="447" t="str">
        <f>IF(COUNTIF(A9:A13,"○")=0,"無","")</f>
        <v>無</v>
      </c>
      <c r="B8" s="551"/>
      <c r="C8" s="542" t="s">
        <v>398</v>
      </c>
      <c r="D8" s="543"/>
      <c r="E8" s="544" t="s">
        <v>6</v>
      </c>
      <c r="F8" s="545"/>
      <c r="G8" s="545"/>
      <c r="H8" s="546"/>
      <c r="I8" s="557"/>
      <c r="J8" s="558"/>
      <c r="K8" s="558"/>
      <c r="L8" s="558"/>
      <c r="M8" s="558"/>
      <c r="N8" s="559"/>
      <c r="O8" s="193" t="str">
        <f>IF(COUNTIF(O9:O13,"○")=0,"無","")</f>
        <v>無</v>
      </c>
      <c r="P8" s="551"/>
      <c r="Q8" s="547">
        <v>30</v>
      </c>
      <c r="R8" s="548"/>
      <c r="S8" s="194"/>
      <c r="T8" s="194"/>
      <c r="U8" s="551"/>
      <c r="V8" s="547">
        <v>15</v>
      </c>
      <c r="W8" s="548"/>
      <c r="X8" s="551"/>
      <c r="Y8" s="547">
        <v>10</v>
      </c>
      <c r="Z8" s="548"/>
      <c r="AA8" s="186"/>
      <c r="AB8" s="191"/>
      <c r="AC8" s="191" t="str">
        <f>HLOOKUP($AC$5,名前2!$C:$J,4,0)</f>
        <v>自動車」という。）のうち乗車定員が９名以上のもの。</v>
      </c>
    </row>
    <row r="9" spans="1:29" ht="16.5" customHeight="1" thickTop="1" x14ac:dyDescent="0.2">
      <c r="A9" s="448"/>
      <c r="B9" s="307" t="s">
        <v>8</v>
      </c>
      <c r="C9" s="308">
        <v>540</v>
      </c>
      <c r="D9" s="309" t="s">
        <v>9</v>
      </c>
      <c r="E9" s="310">
        <v>178</v>
      </c>
      <c r="F9" s="311" t="s">
        <v>10</v>
      </c>
      <c r="G9" s="308">
        <v>100</v>
      </c>
      <c r="H9" s="309" t="s">
        <v>9</v>
      </c>
      <c r="I9" s="312">
        <f t="shared" ref="I9:I13" si="0">TRUNC(CEILING(ROUNDUP(E9*0.36,0),5)/60,0)</f>
        <v>1</v>
      </c>
      <c r="J9" s="313" t="s">
        <v>11</v>
      </c>
      <c r="K9" s="314">
        <f t="shared" ref="K9:K13" si="1">TRUNC(CEILING(ROUNDUP(E9*0.36,0),5)-I9*60,0)</f>
        <v>5</v>
      </c>
      <c r="L9" s="315" t="s">
        <v>12</v>
      </c>
      <c r="M9" s="313">
        <v>100</v>
      </c>
      <c r="N9" s="316" t="s">
        <v>9</v>
      </c>
      <c r="O9" s="185"/>
      <c r="P9" s="307" t="s">
        <v>8</v>
      </c>
      <c r="Q9" s="19">
        <v>4150</v>
      </c>
      <c r="R9" s="316" t="s">
        <v>9</v>
      </c>
      <c r="S9" s="208"/>
      <c r="T9" s="208"/>
      <c r="U9" s="307" t="s">
        <v>8</v>
      </c>
      <c r="V9" s="274">
        <f>ROUNDDOWN($Q9*$V$8/$Q$8,-1)</f>
        <v>2070</v>
      </c>
      <c r="W9" s="206" t="s">
        <v>9</v>
      </c>
      <c r="X9" s="307" t="s">
        <v>8</v>
      </c>
      <c r="Y9" s="274">
        <f>ROUNDDOWN($Q9*$Y$8/$Q$8,-1)</f>
        <v>1380</v>
      </c>
      <c r="Z9" s="206" t="s">
        <v>9</v>
      </c>
      <c r="AA9" s="186"/>
      <c r="AB9" s="191" t="str">
        <f>HLOOKUP($AB$5,名前2!$C:$J,5,0)</f>
        <v>大　型　車</v>
      </c>
      <c r="AC9" s="191" t="str">
        <f>HLOOKUP($AC$5,名前2!$C:$J,5,0)</f>
        <v>普通自動車のうち排気量が２リットル（ハイブリッド自</v>
      </c>
    </row>
    <row r="10" spans="1:29" ht="16.5" customHeight="1" x14ac:dyDescent="0.2">
      <c r="A10" s="448"/>
      <c r="B10" s="317" t="s">
        <v>13</v>
      </c>
      <c r="C10" s="318">
        <f>C9-10</f>
        <v>530</v>
      </c>
      <c r="D10" s="319" t="s">
        <v>9</v>
      </c>
      <c r="E10" s="320">
        <f>ROUND(E$9/(C10/C$9),0)</f>
        <v>181</v>
      </c>
      <c r="F10" s="318" t="s">
        <v>10</v>
      </c>
      <c r="G10" s="318">
        <v>100</v>
      </c>
      <c r="H10" s="319" t="s">
        <v>9</v>
      </c>
      <c r="I10" s="321">
        <f t="shared" si="0"/>
        <v>1</v>
      </c>
      <c r="J10" t="s">
        <v>11</v>
      </c>
      <c r="K10" s="322">
        <f t="shared" si="1"/>
        <v>10</v>
      </c>
      <c r="L10" s="323" t="s">
        <v>12</v>
      </c>
      <c r="M10" s="318">
        <v>100</v>
      </c>
      <c r="N10" s="324" t="s">
        <v>9</v>
      </c>
      <c r="O10" s="185"/>
      <c r="P10" s="317" t="s">
        <v>13</v>
      </c>
      <c r="Q10" s="28">
        <f>ROUNDUP((C10/$C$9)*Q$9,-1)</f>
        <v>4080</v>
      </c>
      <c r="R10" s="324" t="s">
        <v>9</v>
      </c>
      <c r="S10" s="208"/>
      <c r="T10" s="208"/>
      <c r="U10" s="317" t="s">
        <v>13</v>
      </c>
      <c r="V10" s="234">
        <f t="shared" ref="V10:V13" si="2">ROUNDDOWN($Q10*$V$8/$Q$8,-1)</f>
        <v>2040</v>
      </c>
      <c r="W10" s="232" t="s">
        <v>9</v>
      </c>
      <c r="X10" s="317" t="s">
        <v>13</v>
      </c>
      <c r="Y10" s="234">
        <f t="shared" ref="Y10:Y13" si="3">ROUNDDOWN($Q10*$Y$8/$Q$8,-1)</f>
        <v>1360</v>
      </c>
      <c r="Z10" s="232" t="s">
        <v>9</v>
      </c>
      <c r="AA10" s="186"/>
      <c r="AB10" s="191"/>
      <c r="AC10" s="191" t="str">
        <f>HLOOKUP($AC$5,名前2!$C:$J,6,0)</f>
        <v>動車にあっては２．５リットル。）を超えるもので</v>
      </c>
    </row>
    <row r="11" spans="1:29" ht="16.5" customHeight="1" x14ac:dyDescent="0.2">
      <c r="A11" s="448"/>
      <c r="B11" s="325" t="s">
        <v>31</v>
      </c>
      <c r="C11" s="318">
        <f>C10-10</f>
        <v>520</v>
      </c>
      <c r="D11" s="326" t="s">
        <v>9</v>
      </c>
      <c r="E11" s="327">
        <f>E18</f>
        <v>198</v>
      </c>
      <c r="F11" s="328" t="s">
        <v>10</v>
      </c>
      <c r="G11" s="318">
        <v>100</v>
      </c>
      <c r="H11" s="326" t="s">
        <v>9</v>
      </c>
      <c r="I11" s="327">
        <f t="shared" si="0"/>
        <v>1</v>
      </c>
      <c r="J11" s="328" t="s">
        <v>11</v>
      </c>
      <c r="K11" s="329">
        <f t="shared" si="1"/>
        <v>15</v>
      </c>
      <c r="L11" s="330" t="s">
        <v>12</v>
      </c>
      <c r="M11" s="318">
        <v>100</v>
      </c>
      <c r="N11" s="331" t="s">
        <v>9</v>
      </c>
      <c r="O11" s="185"/>
      <c r="P11" s="325" t="s">
        <v>31</v>
      </c>
      <c r="Q11" s="28">
        <f>Q18</f>
        <v>3850</v>
      </c>
      <c r="R11" s="331" t="s">
        <v>9</v>
      </c>
      <c r="S11" s="208"/>
      <c r="T11" s="208"/>
      <c r="U11" s="325" t="s">
        <v>31</v>
      </c>
      <c r="V11" s="234">
        <f t="shared" si="2"/>
        <v>1920</v>
      </c>
      <c r="W11" s="232" t="s">
        <v>9</v>
      </c>
      <c r="X11" s="325" t="s">
        <v>31</v>
      </c>
      <c r="Y11" s="234">
        <f t="shared" si="3"/>
        <v>1280</v>
      </c>
      <c r="Z11" s="232" t="s">
        <v>9</v>
      </c>
      <c r="AA11" s="186"/>
      <c r="AB11" s="191"/>
      <c r="AC11" s="191" t="str">
        <f>HLOOKUP($AC$5,名前2!$C:$J,7,0)</f>
        <v>あって乗車定員が８名以下のもの。</v>
      </c>
    </row>
    <row r="12" spans="1:29" ht="16.5" customHeight="1" x14ac:dyDescent="0.2">
      <c r="A12" s="448"/>
      <c r="B12" s="317" t="s">
        <v>16</v>
      </c>
      <c r="C12" s="318">
        <f>C11-10</f>
        <v>510</v>
      </c>
      <c r="D12" s="326" t="s">
        <v>9</v>
      </c>
      <c r="E12" s="327">
        <f>E19</f>
        <v>202</v>
      </c>
      <c r="F12" s="328" t="s">
        <v>10</v>
      </c>
      <c r="G12" s="318">
        <v>100</v>
      </c>
      <c r="H12" s="326" t="s">
        <v>9</v>
      </c>
      <c r="I12" s="327">
        <f t="shared" si="0"/>
        <v>1</v>
      </c>
      <c r="J12" s="328" t="s">
        <v>11</v>
      </c>
      <c r="K12" s="329">
        <f t="shared" si="1"/>
        <v>15</v>
      </c>
      <c r="L12" s="330" t="s">
        <v>12</v>
      </c>
      <c r="M12" s="318">
        <v>100</v>
      </c>
      <c r="N12" s="331" t="s">
        <v>9</v>
      </c>
      <c r="O12" s="185"/>
      <c r="P12" s="317" t="s">
        <v>16</v>
      </c>
      <c r="Q12" s="28">
        <f>Q19</f>
        <v>3780</v>
      </c>
      <c r="R12" s="331" t="s">
        <v>9</v>
      </c>
      <c r="S12" s="208"/>
      <c r="T12" s="208"/>
      <c r="U12" s="317" t="s">
        <v>16</v>
      </c>
      <c r="V12" s="234">
        <f t="shared" si="2"/>
        <v>1890</v>
      </c>
      <c r="W12" s="232" t="s">
        <v>9</v>
      </c>
      <c r="X12" s="317" t="s">
        <v>16</v>
      </c>
      <c r="Y12" s="234">
        <f t="shared" si="3"/>
        <v>1260</v>
      </c>
      <c r="Z12" s="232" t="s">
        <v>9</v>
      </c>
      <c r="AA12" s="186"/>
      <c r="AB12" s="191" t="str">
        <f>HLOOKUP($AB$5,名前2!$C:$J,8,0)</f>
        <v>普　通　車</v>
      </c>
      <c r="AC12" s="191" t="str">
        <f>HLOOKUP($AC$5,名前2!$C:$J,8,0)</f>
        <v>以下のいずれかに該当する自動車。</v>
      </c>
    </row>
    <row r="13" spans="1:29" ht="16.5" customHeight="1" thickBot="1" x14ac:dyDescent="0.25">
      <c r="A13" s="448"/>
      <c r="B13" s="332" t="s">
        <v>7</v>
      </c>
      <c r="C13" s="334">
        <f>C12-10</f>
        <v>500</v>
      </c>
      <c r="D13" s="335" t="s">
        <v>9</v>
      </c>
      <c r="E13" s="334">
        <f>E20</f>
        <v>255</v>
      </c>
      <c r="F13" s="333" t="s">
        <v>10</v>
      </c>
      <c r="G13" s="333">
        <v>100</v>
      </c>
      <c r="H13" s="335" t="s">
        <v>9</v>
      </c>
      <c r="I13" s="334">
        <f t="shared" si="0"/>
        <v>1</v>
      </c>
      <c r="J13" s="333" t="s">
        <v>11</v>
      </c>
      <c r="K13" s="336">
        <f t="shared" si="1"/>
        <v>35</v>
      </c>
      <c r="L13" s="337" t="s">
        <v>12</v>
      </c>
      <c r="M13" s="333">
        <v>100</v>
      </c>
      <c r="N13" s="338" t="s">
        <v>9</v>
      </c>
      <c r="O13" s="185"/>
      <c r="P13" s="332" t="s">
        <v>7</v>
      </c>
      <c r="Q13" s="49">
        <f>Q20</f>
        <v>3200</v>
      </c>
      <c r="R13" s="338" t="s">
        <v>9</v>
      </c>
      <c r="S13" s="208"/>
      <c r="T13" s="208"/>
      <c r="U13" s="332" t="s">
        <v>7</v>
      </c>
      <c r="V13" s="235">
        <f t="shared" si="2"/>
        <v>1600</v>
      </c>
      <c r="W13" s="218" t="s">
        <v>9</v>
      </c>
      <c r="X13" s="332" t="s">
        <v>7</v>
      </c>
      <c r="Y13" s="235">
        <f t="shared" si="3"/>
        <v>1060</v>
      </c>
      <c r="Z13" s="218" t="s">
        <v>9</v>
      </c>
      <c r="AA13" s="186"/>
      <c r="AB13" s="191"/>
      <c r="AC13" s="191" t="str">
        <f>HLOOKUP($AC$5,名前2!$C:$J,9,0)</f>
        <v>一　普通自動車又は小型自動車のうち特定大型車及び大型</v>
      </c>
    </row>
    <row r="14" spans="1:29" ht="13.5" customHeight="1" x14ac:dyDescent="0.2">
      <c r="A14" s="243"/>
      <c r="B14" s="220"/>
      <c r="C14" s="208"/>
      <c r="D14" s="208"/>
      <c r="E14" s="208"/>
      <c r="F14" s="208"/>
      <c r="G14" s="208"/>
      <c r="H14" s="208"/>
      <c r="I14" s="208"/>
      <c r="J14" s="221"/>
      <c r="K14" s="222"/>
      <c r="L14" s="223"/>
      <c r="M14" s="208"/>
      <c r="N14" s="208"/>
      <c r="O14" s="186"/>
      <c r="P14" s="220"/>
      <c r="Q14" s="224"/>
      <c r="R14" s="208"/>
      <c r="S14" s="208"/>
      <c r="T14" s="186"/>
      <c r="U14" s="220"/>
      <c r="V14" s="224"/>
      <c r="W14" s="208"/>
      <c r="X14" s="220"/>
      <c r="Y14" s="224"/>
      <c r="Z14" s="208"/>
      <c r="AA14" s="186"/>
      <c r="AB14" s="191"/>
      <c r="AC14" s="191" t="str">
        <f>HLOOKUP($AC$5,名前2!$C:$J,10,0)</f>
        <v>車に該当する自動車以外のもの。</v>
      </c>
    </row>
    <row r="15" spans="1:29" ht="16.5" customHeight="1" thickBot="1" x14ac:dyDescent="0.25">
      <c r="A15" s="243" t="s">
        <v>19</v>
      </c>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91"/>
      <c r="AC15" s="191" t="str">
        <f>HLOOKUP($AC$5,名前2!$C:$J,11,0)</f>
        <v>二　道路運送車両法施行規則第２条に定める軽自動車（</v>
      </c>
    </row>
    <row r="16" spans="1:29" ht="16.5" customHeight="1" x14ac:dyDescent="0.2">
      <c r="A16" s="450" t="s">
        <v>112</v>
      </c>
      <c r="B16" s="550"/>
      <c r="C16" s="562" t="s">
        <v>3</v>
      </c>
      <c r="D16" s="563"/>
      <c r="E16" s="563"/>
      <c r="F16" s="563"/>
      <c r="G16" s="563"/>
      <c r="H16" s="564"/>
      <c r="I16" s="554" t="s">
        <v>4</v>
      </c>
      <c r="J16" s="555"/>
      <c r="K16" s="555"/>
      <c r="L16" s="555"/>
      <c r="M16" s="555"/>
      <c r="N16" s="556"/>
      <c r="O16" s="225" t="s">
        <v>112</v>
      </c>
      <c r="P16" s="550"/>
      <c r="Q16" s="562" t="s">
        <v>5</v>
      </c>
      <c r="R16" s="565"/>
      <c r="S16" s="192"/>
      <c r="T16" s="192"/>
      <c r="U16" s="550"/>
      <c r="V16" s="562" t="s">
        <v>5</v>
      </c>
      <c r="W16" s="565"/>
      <c r="X16" s="550"/>
      <c r="Y16" s="562" t="s">
        <v>5</v>
      </c>
      <c r="Z16" s="565"/>
      <c r="AA16" s="186"/>
      <c r="AB16" s="191"/>
      <c r="AC16" s="191" t="str">
        <f>HLOOKUP($AC$5,名前2!$C:$J,12,0)</f>
        <v>以下「軽自動車」という。）のうち、内燃機関を搭載し</v>
      </c>
    </row>
    <row r="17" spans="1:29" ht="30" customHeight="1" thickBot="1" x14ac:dyDescent="0.25">
      <c r="A17" s="447" t="str">
        <f>IF(COUNTIF(A18:A21,"○")=0,"無","")</f>
        <v>無</v>
      </c>
      <c r="B17" s="551"/>
      <c r="C17" s="542" t="s">
        <v>398</v>
      </c>
      <c r="D17" s="543"/>
      <c r="E17" s="544" t="s">
        <v>6</v>
      </c>
      <c r="F17" s="545"/>
      <c r="G17" s="545"/>
      <c r="H17" s="546"/>
      <c r="I17" s="557"/>
      <c r="J17" s="558"/>
      <c r="K17" s="558"/>
      <c r="L17" s="558"/>
      <c r="M17" s="558"/>
      <c r="N17" s="559"/>
      <c r="O17" s="193" t="str">
        <f>IF(COUNTIF(O18:O21,"○")=0,"無","")</f>
        <v>無</v>
      </c>
      <c r="P17" s="551"/>
      <c r="Q17" s="547">
        <v>30</v>
      </c>
      <c r="R17" s="548"/>
      <c r="S17" s="194"/>
      <c r="T17" s="194"/>
      <c r="U17" s="551"/>
      <c r="V17" s="547">
        <v>15</v>
      </c>
      <c r="W17" s="548"/>
      <c r="X17" s="551"/>
      <c r="Y17" s="547">
        <v>10</v>
      </c>
      <c r="Z17" s="548"/>
      <c r="AA17" s="186"/>
      <c r="AB17" s="191"/>
      <c r="AC17" s="191" t="str">
        <f>HLOOKUP($AC$5,名前2!$C:$J,13,0)</f>
        <v>ないもの又は福祉輸送サービスの用に供するものに限る。</v>
      </c>
    </row>
    <row r="18" spans="1:29" ht="16.5" customHeight="1" thickTop="1" x14ac:dyDescent="0.2">
      <c r="A18" s="448"/>
      <c r="B18" s="307" t="s">
        <v>8</v>
      </c>
      <c r="C18" s="308">
        <v>520</v>
      </c>
      <c r="D18" s="309" t="s">
        <v>9</v>
      </c>
      <c r="E18" s="310">
        <v>198</v>
      </c>
      <c r="F18" s="311" t="s">
        <v>10</v>
      </c>
      <c r="G18" s="308">
        <v>100</v>
      </c>
      <c r="H18" s="309" t="s">
        <v>9</v>
      </c>
      <c r="I18" s="312">
        <f t="shared" ref="I18:I21" si="4">TRUNC(CEILING(ROUNDUP(E18*0.36,0),5)/60,0)</f>
        <v>1</v>
      </c>
      <c r="J18" s="313" t="s">
        <v>11</v>
      </c>
      <c r="K18" s="314">
        <f t="shared" ref="K18:K21" si="5">TRUNC(CEILING(ROUNDUP(E18*0.36,0),5)-I18*60,0)</f>
        <v>15</v>
      </c>
      <c r="L18" s="315" t="s">
        <v>12</v>
      </c>
      <c r="M18" s="313">
        <v>100</v>
      </c>
      <c r="N18" s="316" t="s">
        <v>9</v>
      </c>
      <c r="O18" s="185"/>
      <c r="P18" s="307" t="s">
        <v>8</v>
      </c>
      <c r="Q18" s="19">
        <v>3850</v>
      </c>
      <c r="R18" s="316" t="s">
        <v>9</v>
      </c>
      <c r="S18" s="208"/>
      <c r="T18" s="208"/>
      <c r="U18" s="307" t="s">
        <v>8</v>
      </c>
      <c r="V18" s="274">
        <f>ROUNDDOWN($Q18*$V$8/$Q$8,-1)</f>
        <v>1920</v>
      </c>
      <c r="W18" s="206" t="s">
        <v>9</v>
      </c>
      <c r="X18" s="307" t="s">
        <v>8</v>
      </c>
      <c r="Y18" s="274">
        <f>ROUNDDOWN($Q18*$Y$8/$Q$8,-1)</f>
        <v>1280</v>
      </c>
      <c r="Z18" s="206" t="s">
        <v>9</v>
      </c>
      <c r="AA18" s="186"/>
      <c r="AB18" s="191"/>
      <c r="AC18" s="191" t="str">
        <f>HLOOKUP($AC$5,名前2!$C:$J,14,0)</f>
        <v>ただし、「タクシー事業における軽自動車の活用について」</v>
      </c>
    </row>
    <row r="19" spans="1:29" ht="16.5" customHeight="1" x14ac:dyDescent="0.2">
      <c r="A19" s="448"/>
      <c r="B19" s="317" t="s">
        <v>13</v>
      </c>
      <c r="C19" s="318">
        <f>C18-10</f>
        <v>510</v>
      </c>
      <c r="D19" s="319" t="s">
        <v>9</v>
      </c>
      <c r="E19" s="320">
        <f>ROUND(E$18/(C19/C$18),0)</f>
        <v>202</v>
      </c>
      <c r="F19" s="318" t="s">
        <v>10</v>
      </c>
      <c r="G19" s="318">
        <v>100</v>
      </c>
      <c r="H19" s="319" t="s">
        <v>9</v>
      </c>
      <c r="I19" s="321">
        <f t="shared" si="4"/>
        <v>1</v>
      </c>
      <c r="J19" t="s">
        <v>11</v>
      </c>
      <c r="K19" s="322">
        <f t="shared" si="5"/>
        <v>15</v>
      </c>
      <c r="L19" s="323" t="s">
        <v>12</v>
      </c>
      <c r="M19" s="318">
        <v>100</v>
      </c>
      <c r="N19" s="324" t="s">
        <v>9</v>
      </c>
      <c r="O19" s="185"/>
      <c r="P19" s="317" t="s">
        <v>13</v>
      </c>
      <c r="Q19" s="28">
        <f>ROUNDUP((C19/C$18)*Q$18,-1)</f>
        <v>3780</v>
      </c>
      <c r="R19" s="324" t="s">
        <v>9</v>
      </c>
      <c r="S19" s="208"/>
      <c r="T19" s="208"/>
      <c r="U19" s="317" t="s">
        <v>13</v>
      </c>
      <c r="V19" s="234">
        <f t="shared" ref="V19:V21" si="6">ROUNDDOWN($Q19*$V$8/$Q$8,-1)</f>
        <v>1890</v>
      </c>
      <c r="W19" s="232" t="s">
        <v>9</v>
      </c>
      <c r="X19" s="317" t="s">
        <v>13</v>
      </c>
      <c r="Y19" s="234">
        <f t="shared" ref="Y19:Y21" si="7">ROUNDDOWN($Q19*$Y$8/$Q$8,-1)</f>
        <v>1260</v>
      </c>
      <c r="Z19" s="232" t="s">
        <v>9</v>
      </c>
      <c r="AA19" s="186"/>
      <c r="AB19" s="191"/>
      <c r="AC19" s="191" t="str">
        <f>HLOOKUP($AC$5,名前2!$C:$J,15,0)</f>
        <v>（令和８年６月１日付け国自旅第３７号）別紙１．に基</v>
      </c>
    </row>
    <row r="20" spans="1:29" ht="16.5" customHeight="1" x14ac:dyDescent="0.2">
      <c r="A20" s="448"/>
      <c r="B20" s="325" t="s">
        <v>31</v>
      </c>
      <c r="C20" s="318">
        <f>C26</f>
        <v>500</v>
      </c>
      <c r="D20" s="326" t="s">
        <v>9</v>
      </c>
      <c r="E20" s="327">
        <f>E26</f>
        <v>255</v>
      </c>
      <c r="F20" s="328" t="s">
        <v>10</v>
      </c>
      <c r="G20" s="318">
        <v>100</v>
      </c>
      <c r="H20" s="326" t="s">
        <v>9</v>
      </c>
      <c r="I20" s="327">
        <f t="shared" si="4"/>
        <v>1</v>
      </c>
      <c r="J20" s="328" t="s">
        <v>11</v>
      </c>
      <c r="K20" s="329">
        <f t="shared" si="5"/>
        <v>35</v>
      </c>
      <c r="L20" s="330" t="s">
        <v>12</v>
      </c>
      <c r="M20" s="318">
        <v>100</v>
      </c>
      <c r="N20" s="331" t="s">
        <v>9</v>
      </c>
      <c r="O20" s="185"/>
      <c r="P20" s="325" t="s">
        <v>31</v>
      </c>
      <c r="Q20" s="28">
        <f>Q26</f>
        <v>3200</v>
      </c>
      <c r="R20" s="331" t="s">
        <v>9</v>
      </c>
      <c r="S20" s="208"/>
      <c r="T20" s="208"/>
      <c r="U20" s="325" t="s">
        <v>31</v>
      </c>
      <c r="V20" s="234">
        <f t="shared" si="6"/>
        <v>1600</v>
      </c>
      <c r="W20" s="232" t="s">
        <v>9</v>
      </c>
      <c r="X20" s="325" t="s">
        <v>31</v>
      </c>
      <c r="Y20" s="234">
        <f t="shared" si="7"/>
        <v>1060</v>
      </c>
      <c r="Z20" s="232" t="s">
        <v>9</v>
      </c>
      <c r="AA20" s="186"/>
      <c r="AB20" s="191"/>
      <c r="AC20" s="191" t="str">
        <f>HLOOKUP($AC$5,名前2!$C:$J,16,0)</f>
        <v>づき近畿運輸局長が公示する地域においては、軽自動車と</v>
      </c>
    </row>
    <row r="21" spans="1:29" ht="16.5" customHeight="1" thickBot="1" x14ac:dyDescent="0.25">
      <c r="A21" s="448"/>
      <c r="B21" s="332" t="s">
        <v>7</v>
      </c>
      <c r="C21" s="334">
        <f>C20-10</f>
        <v>490</v>
      </c>
      <c r="D21" s="335" t="s">
        <v>9</v>
      </c>
      <c r="E21" s="334">
        <f>E27</f>
        <v>260</v>
      </c>
      <c r="F21" s="333" t="s">
        <v>10</v>
      </c>
      <c r="G21" s="333">
        <v>100</v>
      </c>
      <c r="H21" s="335" t="s">
        <v>9</v>
      </c>
      <c r="I21" s="334">
        <f t="shared" si="4"/>
        <v>1</v>
      </c>
      <c r="J21" s="333" t="s">
        <v>11</v>
      </c>
      <c r="K21" s="336">
        <f t="shared" si="5"/>
        <v>35</v>
      </c>
      <c r="L21" s="337" t="s">
        <v>12</v>
      </c>
      <c r="M21" s="333">
        <v>100</v>
      </c>
      <c r="N21" s="338" t="s">
        <v>9</v>
      </c>
      <c r="O21" s="185"/>
      <c r="P21" s="332" t="s">
        <v>7</v>
      </c>
      <c r="Q21" s="49">
        <f>Q27</f>
        <v>3140</v>
      </c>
      <c r="R21" s="338" t="s">
        <v>9</v>
      </c>
      <c r="S21" s="208"/>
      <c r="T21" s="208"/>
      <c r="U21" s="332" t="s">
        <v>7</v>
      </c>
      <c r="V21" s="235">
        <f t="shared" si="6"/>
        <v>1570</v>
      </c>
      <c r="W21" s="218" t="s">
        <v>9</v>
      </c>
      <c r="X21" s="332" t="s">
        <v>7</v>
      </c>
      <c r="Y21" s="235">
        <f t="shared" si="7"/>
        <v>1040</v>
      </c>
      <c r="Z21" s="218" t="s">
        <v>9</v>
      </c>
      <c r="AA21" s="186"/>
      <c r="AB21" s="191"/>
      <c r="AC21" s="191" t="str">
        <f>HLOOKUP($AC$5,名前2!$C:$J,17,0)</f>
        <v>する。</v>
      </c>
    </row>
    <row r="22" spans="1:29" ht="13.5" customHeight="1" x14ac:dyDescent="0.2">
      <c r="A22" s="243"/>
      <c r="B22" s="220"/>
      <c r="C22" s="208"/>
      <c r="D22" s="208"/>
      <c r="E22" s="208"/>
      <c r="F22" s="208"/>
      <c r="G22" s="208"/>
      <c r="H22" s="208"/>
      <c r="I22" s="208"/>
      <c r="J22" s="221"/>
      <c r="K22" s="222"/>
      <c r="L22" s="223"/>
      <c r="M22" s="208"/>
      <c r="N22" s="208"/>
      <c r="O22" s="186"/>
      <c r="P22" s="220"/>
      <c r="Q22" s="224"/>
      <c r="R22" s="208"/>
      <c r="S22" s="208"/>
      <c r="T22" s="186"/>
      <c r="U22" s="220"/>
      <c r="V22" s="224"/>
      <c r="W22" s="208"/>
      <c r="X22" s="220"/>
      <c r="Y22" s="224"/>
      <c r="Z22" s="208"/>
      <c r="AA22" s="186"/>
      <c r="AB22" s="191" t="str">
        <f>HLOOKUP($AB$5,名前2!$C:$J,18,0)</f>
        <v>備　　　考　</v>
      </c>
      <c r="AC22" s="191" t="str">
        <f>HLOOKUP($AC$5,名前2!$C:$J,18,0)</f>
        <v>１　自動車検査証に記載されている諸元を基準とする。</v>
      </c>
    </row>
    <row r="23" spans="1:29" ht="16.5" customHeight="1" thickBot="1" x14ac:dyDescent="0.25">
      <c r="A23" s="243" t="s">
        <v>28</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91"/>
      <c r="AC23" s="191" t="str">
        <f>HLOOKUP($AC$5,名前2!$C:$J,19,0)</f>
        <v>２　車体の形状が患者輸送車、車いす移動車又は身体障害</v>
      </c>
    </row>
    <row r="24" spans="1:29" ht="16.5" customHeight="1" x14ac:dyDescent="0.2">
      <c r="A24" s="450" t="s">
        <v>112</v>
      </c>
      <c r="B24" s="550"/>
      <c r="C24" s="562" t="s">
        <v>3</v>
      </c>
      <c r="D24" s="563"/>
      <c r="E24" s="563"/>
      <c r="F24" s="563"/>
      <c r="G24" s="563"/>
      <c r="H24" s="564"/>
      <c r="I24" s="554" t="s">
        <v>4</v>
      </c>
      <c r="J24" s="555"/>
      <c r="K24" s="555"/>
      <c r="L24" s="555"/>
      <c r="M24" s="555"/>
      <c r="N24" s="556"/>
      <c r="O24" s="225" t="s">
        <v>112</v>
      </c>
      <c r="P24" s="550"/>
      <c r="Q24" s="562" t="s">
        <v>5</v>
      </c>
      <c r="R24" s="565"/>
      <c r="S24" s="192"/>
      <c r="T24" s="192"/>
      <c r="U24" s="550"/>
      <c r="V24" s="562" t="s">
        <v>5</v>
      </c>
      <c r="W24" s="565"/>
      <c r="X24" s="550"/>
      <c r="Y24" s="562" t="s">
        <v>5</v>
      </c>
      <c r="Z24" s="565"/>
      <c r="AA24" s="186"/>
      <c r="AB24" s="191" t="str">
        <f>IF(HLOOKUP($AB$5,名前2!$C:$J,20,0)=0,"",HLOOKUP($AB$5,名前2!C:J,20,0))</f>
        <v/>
      </c>
      <c r="AC24" s="191" t="str">
        <f>HLOOKUP($AC$5,名前2!$C:$J,20,0)</f>
        <v>者輸送車である特種自動車については、上記の車種区分に</v>
      </c>
    </row>
    <row r="25" spans="1:29" ht="30" customHeight="1" thickBot="1" x14ac:dyDescent="0.25">
      <c r="A25" s="447" t="str">
        <f>IF(COUNTIF(A26:A29,"○")=0,"無","")</f>
        <v>無</v>
      </c>
      <c r="B25" s="551"/>
      <c r="C25" s="542" t="s">
        <v>398</v>
      </c>
      <c r="D25" s="543"/>
      <c r="E25" s="544" t="s">
        <v>6</v>
      </c>
      <c r="F25" s="545"/>
      <c r="G25" s="545"/>
      <c r="H25" s="546"/>
      <c r="I25" s="557"/>
      <c r="J25" s="558"/>
      <c r="K25" s="558"/>
      <c r="L25" s="558"/>
      <c r="M25" s="558"/>
      <c r="N25" s="559"/>
      <c r="O25" s="193" t="str">
        <f>IF(COUNTIF(O26:O29,"○")=0,"無","")</f>
        <v>無</v>
      </c>
      <c r="P25" s="551"/>
      <c r="Q25" s="547">
        <v>30</v>
      </c>
      <c r="R25" s="548"/>
      <c r="S25" s="194"/>
      <c r="T25" s="194"/>
      <c r="U25" s="551"/>
      <c r="V25" s="547">
        <v>15</v>
      </c>
      <c r="W25" s="548"/>
      <c r="X25" s="551"/>
      <c r="Y25" s="547">
        <v>10</v>
      </c>
      <c r="Z25" s="548"/>
      <c r="AA25" s="186"/>
      <c r="AB25" s="191"/>
      <c r="AC25" s="191" t="str">
        <f>HLOOKUP($AC$5,名前2!$C:$J,21,0)</f>
        <v>よらず、以下の区分を適用する。</v>
      </c>
    </row>
    <row r="26" spans="1:29" ht="16.5" customHeight="1" thickTop="1" x14ac:dyDescent="0.2">
      <c r="A26" s="448"/>
      <c r="B26" s="307" t="s">
        <v>8</v>
      </c>
      <c r="C26" s="308">
        <v>500</v>
      </c>
      <c r="D26" s="309" t="s">
        <v>9</v>
      </c>
      <c r="E26" s="310">
        <v>255</v>
      </c>
      <c r="F26" s="311" t="s">
        <v>10</v>
      </c>
      <c r="G26" s="308">
        <v>100</v>
      </c>
      <c r="H26" s="309" t="s">
        <v>9</v>
      </c>
      <c r="I26" s="312">
        <f t="shared" ref="I26:I29" si="8">TRUNC(CEILING(ROUNDUP(E26*0.36,0),5)/60,0)</f>
        <v>1</v>
      </c>
      <c r="J26" s="313" t="s">
        <v>11</v>
      </c>
      <c r="K26" s="314">
        <f t="shared" ref="K26:K29" si="9">TRUNC(CEILING(ROUNDUP(E26*0.36,0),5)-I26*60,0)</f>
        <v>35</v>
      </c>
      <c r="L26" s="315" t="s">
        <v>12</v>
      </c>
      <c r="M26" s="313">
        <v>100</v>
      </c>
      <c r="N26" s="316" t="s">
        <v>9</v>
      </c>
      <c r="O26" s="185"/>
      <c r="P26" s="307" t="s">
        <v>8</v>
      </c>
      <c r="Q26" s="19">
        <v>3200</v>
      </c>
      <c r="R26" s="316" t="s">
        <v>9</v>
      </c>
      <c r="S26" s="208"/>
      <c r="T26" s="208"/>
      <c r="U26" s="307" t="s">
        <v>8</v>
      </c>
      <c r="V26" s="274">
        <f>ROUNDDOWN($Q26*$V$8/$Q$8,-1)</f>
        <v>1600</v>
      </c>
      <c r="W26" s="206" t="s">
        <v>9</v>
      </c>
      <c r="X26" s="307" t="s">
        <v>8</v>
      </c>
      <c r="Y26" s="274">
        <f>ROUNDDOWN($Q26*$Y$8/$Q$8,-1)</f>
        <v>1060</v>
      </c>
      <c r="Z26" s="206" t="s">
        <v>9</v>
      </c>
      <c r="AA26" s="186"/>
      <c r="AB26" s="191"/>
      <c r="AC26" s="191" t="str">
        <f>HLOOKUP($AC$5,名前2!$C:$J,22,0)</f>
        <v>一　次号に掲げる自動車以外の自動車</v>
      </c>
    </row>
    <row r="27" spans="1:29" ht="16.2" customHeight="1" x14ac:dyDescent="0.2">
      <c r="A27" s="448"/>
      <c r="B27" s="317" t="s">
        <v>13</v>
      </c>
      <c r="C27" s="328">
        <f>C21</f>
        <v>490</v>
      </c>
      <c r="D27" s="326" t="s">
        <v>9</v>
      </c>
      <c r="E27" s="327">
        <f>ROUND(E$26/(C27/C$26),0)</f>
        <v>260</v>
      </c>
      <c r="F27" s="328" t="s">
        <v>10</v>
      </c>
      <c r="G27" s="328">
        <v>100</v>
      </c>
      <c r="H27" s="326" t="s">
        <v>9</v>
      </c>
      <c r="I27" s="312">
        <f t="shared" si="8"/>
        <v>1</v>
      </c>
      <c r="J27" s="313" t="s">
        <v>11</v>
      </c>
      <c r="K27" s="314">
        <f t="shared" si="9"/>
        <v>35</v>
      </c>
      <c r="L27" s="315" t="s">
        <v>12</v>
      </c>
      <c r="M27" s="328">
        <v>100</v>
      </c>
      <c r="N27" s="331" t="s">
        <v>9</v>
      </c>
      <c r="O27" s="185"/>
      <c r="P27" s="317" t="s">
        <v>13</v>
      </c>
      <c r="Q27" s="24">
        <f>ROUNDUP((C27/C$26)*Q$26,-1)</f>
        <v>3140</v>
      </c>
      <c r="R27" s="331" t="s">
        <v>9</v>
      </c>
      <c r="S27" s="208"/>
      <c r="T27" s="208"/>
      <c r="U27" s="317" t="s">
        <v>13</v>
      </c>
      <c r="V27" s="234">
        <f t="shared" ref="V27:V29" si="10">ROUNDDOWN($Q27*$V$8/$Q$8,-1)</f>
        <v>1570</v>
      </c>
      <c r="W27" s="232" t="s">
        <v>9</v>
      </c>
      <c r="X27" s="317" t="s">
        <v>13</v>
      </c>
      <c r="Y27" s="234">
        <f t="shared" ref="Y27:Y29" si="11">ROUNDDOWN($Q27*$Y$8/$Q$8,-1)</f>
        <v>1040</v>
      </c>
      <c r="Z27" s="232" t="s">
        <v>9</v>
      </c>
      <c r="AA27" s="186"/>
      <c r="AB27" s="191"/>
      <c r="AC27" s="191" t="str">
        <f>HLOOKUP($AC$5,名前2!$C:$J,23,0)</f>
        <v>ア　乗車定員が７名以上のもの　大型車</v>
      </c>
    </row>
    <row r="28" spans="1:29" ht="16.5" customHeight="1" x14ac:dyDescent="0.2">
      <c r="A28" s="448"/>
      <c r="B28" s="325" t="s">
        <v>31</v>
      </c>
      <c r="C28" s="318">
        <f>C27-10</f>
        <v>480</v>
      </c>
      <c r="D28" s="319" t="s">
        <v>9</v>
      </c>
      <c r="E28" s="327">
        <f>ROUND(E$26/(C28/C$26),0)</f>
        <v>266</v>
      </c>
      <c r="F28" s="318" t="s">
        <v>10</v>
      </c>
      <c r="G28" s="328">
        <v>100</v>
      </c>
      <c r="H28" s="319" t="s">
        <v>9</v>
      </c>
      <c r="I28" s="320">
        <f t="shared" si="8"/>
        <v>1</v>
      </c>
      <c r="J28" s="318" t="s">
        <v>11</v>
      </c>
      <c r="K28" s="339">
        <f t="shared" si="9"/>
        <v>40</v>
      </c>
      <c r="L28" s="340" t="s">
        <v>12</v>
      </c>
      <c r="M28" s="328">
        <v>100</v>
      </c>
      <c r="N28" s="324" t="s">
        <v>9</v>
      </c>
      <c r="O28" s="185"/>
      <c r="P28" s="325" t="s">
        <v>31</v>
      </c>
      <c r="Q28" s="24">
        <f>ROUNDUP((C28/C$26)*Q$26,-1)</f>
        <v>3080</v>
      </c>
      <c r="R28" s="324" t="s">
        <v>9</v>
      </c>
      <c r="S28" s="208"/>
      <c r="T28" s="208"/>
      <c r="U28" s="325" t="s">
        <v>31</v>
      </c>
      <c r="V28" s="234">
        <f t="shared" si="10"/>
        <v>1540</v>
      </c>
      <c r="W28" s="232" t="s">
        <v>9</v>
      </c>
      <c r="X28" s="325" t="s">
        <v>31</v>
      </c>
      <c r="Y28" s="234">
        <f t="shared" si="11"/>
        <v>1020</v>
      </c>
      <c r="Z28" s="232" t="s">
        <v>9</v>
      </c>
      <c r="AA28" s="186"/>
      <c r="AB28" s="191"/>
      <c r="AC28" s="191" t="str">
        <f>HLOOKUP($AC$5,名前2!$C:$J,24,0)</f>
        <v>イ　乗車定員が６名以下のもの　普通車</v>
      </c>
    </row>
    <row r="29" spans="1:29" ht="16.5" customHeight="1" thickBot="1" x14ac:dyDescent="0.25">
      <c r="A29" s="448"/>
      <c r="B29" s="332" t="s">
        <v>7</v>
      </c>
      <c r="C29" s="334">
        <f>C28-10</f>
        <v>470</v>
      </c>
      <c r="D29" s="335" t="s">
        <v>9</v>
      </c>
      <c r="E29" s="334">
        <f>ROUND(E$26/(C29/C$26),0)</f>
        <v>271</v>
      </c>
      <c r="F29" s="333" t="s">
        <v>10</v>
      </c>
      <c r="G29" s="333">
        <v>100</v>
      </c>
      <c r="H29" s="335" t="s">
        <v>9</v>
      </c>
      <c r="I29" s="334">
        <f t="shared" si="8"/>
        <v>1</v>
      </c>
      <c r="J29" s="333" t="s">
        <v>11</v>
      </c>
      <c r="K29" s="336">
        <f t="shared" si="9"/>
        <v>40</v>
      </c>
      <c r="L29" s="337" t="s">
        <v>12</v>
      </c>
      <c r="M29" s="333">
        <v>100</v>
      </c>
      <c r="N29" s="338" t="s">
        <v>9</v>
      </c>
      <c r="O29" s="185"/>
      <c r="P29" s="332" t="s">
        <v>7</v>
      </c>
      <c r="Q29" s="49">
        <f>ROUNDUP((C29/C$26)*Q$26,-1)</f>
        <v>3010</v>
      </c>
      <c r="R29" s="338" t="s">
        <v>9</v>
      </c>
      <c r="S29" s="208"/>
      <c r="T29" s="208"/>
      <c r="U29" s="332" t="s">
        <v>7</v>
      </c>
      <c r="V29" s="235">
        <f t="shared" si="10"/>
        <v>1500</v>
      </c>
      <c r="W29" s="218" t="s">
        <v>9</v>
      </c>
      <c r="X29" s="332" t="s">
        <v>7</v>
      </c>
      <c r="Y29" s="235">
        <f t="shared" si="11"/>
        <v>1000</v>
      </c>
      <c r="Z29" s="218" t="s">
        <v>9</v>
      </c>
      <c r="AA29" s="186"/>
      <c r="AB29" s="191"/>
      <c r="AC29" s="191" t="str">
        <f>HLOOKUP($AC$5,名前2!$C:$J,25,0)</f>
        <v>二　専ら旅客を寝台に乗せて運行することを目的とする</v>
      </c>
    </row>
    <row r="30" spans="1:29" ht="13.5" customHeight="1" x14ac:dyDescent="0.2">
      <c r="A30" s="243"/>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91"/>
      <c r="AC30" s="191" t="str">
        <f>HLOOKUP($AC$5,名前2!$C:$J,26,0)</f>
        <v>自動車</v>
      </c>
    </row>
    <row r="31" spans="1:29" x14ac:dyDescent="0.2">
      <c r="A31" s="243"/>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91"/>
      <c r="AC31" s="191" t="str">
        <f>HLOOKUP($AC$5,名前2!$C:$J,27,0)</f>
        <v>ア　普通自動車　普通自動車</v>
      </c>
    </row>
    <row r="32" spans="1:29" ht="13.5" customHeight="1" x14ac:dyDescent="0.2">
      <c r="A32" s="243"/>
      <c r="B32" s="188" t="s">
        <v>259</v>
      </c>
      <c r="C32" s="189" t="str">
        <f>HYPERLINK("#手引き!B46","手引きへ戻る")</f>
        <v>手引きへ戻る</v>
      </c>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91"/>
      <c r="AC32" s="191" t="str">
        <f>HLOOKUP($AC$5,名前2!$C:$J,28,0)</f>
        <v>イ　小型自動車　小型自動車</v>
      </c>
    </row>
    <row r="33" spans="1:29" ht="13.5" customHeight="1" x14ac:dyDescent="0.2">
      <c r="A33" s="243"/>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91"/>
      <c r="AC33" s="191" t="str">
        <f>HLOOKUP($AC$5,名前2!$C:$J,29,0)</f>
        <v>３　上記の車種区分において、ハイブリッド自動車とは、</v>
      </c>
    </row>
    <row r="34" spans="1:29" x14ac:dyDescent="0.2">
      <c r="A34" s="243"/>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91"/>
      <c r="AC34" s="191" t="str">
        <f>HLOOKUP($AC$5,名前2!$C:$J,30,0)</f>
        <v>内燃機関を搭載し、併せて電気又は蓄圧器に蓄えられた</v>
      </c>
    </row>
    <row r="35" spans="1:29" x14ac:dyDescent="0.2">
      <c r="A35" s="243"/>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91"/>
      <c r="AC35" s="191" t="str">
        <f>IF(HLOOKUP($AC$5,名前2!$C:$J,31,0)=0,"",HLOOKUP($AC$5,名前2!$C:$J,31,0))</f>
        <v>圧力を動力源として用いる自動車をいう。</v>
      </c>
    </row>
    <row r="36" spans="1:29" x14ac:dyDescent="0.2">
      <c r="A36" s="243"/>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91"/>
      <c r="AC36" s="191" t="str">
        <f>IF(HLOOKUP($AC$5,名前2!$C:$J,32,0)=0,"",HLOOKUP($AC$5,名前2!$C:$J,32,0))</f>
        <v/>
      </c>
    </row>
    <row r="37" spans="1:29" x14ac:dyDescent="0.2">
      <c r="A37" s="243"/>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91"/>
      <c r="AC37" s="191" t="str">
        <f>IF(HLOOKUP($AC$5,名前2!$C:$J,33,0)=0,"",HLOOKUP($AC$5,名前2!$C:$J,33,0))</f>
        <v/>
      </c>
    </row>
    <row r="38" spans="1:29" x14ac:dyDescent="0.2">
      <c r="A38" s="243"/>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91"/>
      <c r="AC38" s="191" t="str">
        <f>IF(HLOOKUP($AC$5,名前2!$C:$J,34,0)=0,"",HLOOKUP($AC$5,名前2!$C:$J,34,0))</f>
        <v/>
      </c>
    </row>
    <row r="39" spans="1:29" x14ac:dyDescent="0.2">
      <c r="A39" s="243"/>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91"/>
      <c r="AC39" s="191" t="str">
        <f>IF(HLOOKUP($AC$5,名前2!$C:$J,35,0)=0,"",HLOOKUP($AC$5,名前2!$C:$J,35,0))</f>
        <v/>
      </c>
    </row>
    <row r="40" spans="1:29"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91"/>
      <c r="AC41" s="191" t="str">
        <f>IF(HLOOKUP($AC$5,名前2!$C:$J,37,0)=0,"",HLOOKUP($AC$5,名前2!$C:$J,37,0))</f>
        <v/>
      </c>
    </row>
    <row r="42" spans="1:29" ht="13.5" customHeight="1"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91"/>
      <c r="AC42" s="191" t="str">
        <f>IF(HLOOKUP($AC$5,名前2!$C:$J,38,0)=0,"",HLOOKUP($AC$5,名前2!$C:$J,38,0))</f>
        <v/>
      </c>
    </row>
    <row r="43" spans="1:29" ht="13.5" customHeight="1"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91"/>
      <c r="AC43" s="191" t="str">
        <f>IF(HLOOKUP($AC$5,名前2!$C:$J,39,0)=0,"",HLOOKUP($AC$5,名前2!$C:$J,39,0))</f>
        <v/>
      </c>
    </row>
    <row r="44" spans="1:29"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91"/>
      <c r="AC44" s="191" t="str">
        <f>IF(HLOOKUP($AC$5,名前2!$C:$J,40,0)=0,"",HLOOKUP($AC$5,名前2!$C:$J,40,0))</f>
        <v/>
      </c>
    </row>
    <row r="45" spans="1:29" x14ac:dyDescent="0.2">
      <c r="A45" s="243"/>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row>
    <row r="46" spans="1:29" x14ac:dyDescent="0.2">
      <c r="A46" s="243"/>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row>
    <row r="47" spans="1:29" x14ac:dyDescent="0.2">
      <c r="A47" s="243"/>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row>
    <row r="48" spans="1:29" x14ac:dyDescent="0.2">
      <c r="A48" s="243"/>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row>
    <row r="49" spans="1:27" x14ac:dyDescent="0.2">
      <c r="A49" s="243"/>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row>
    <row r="50" spans="1:27" x14ac:dyDescent="0.2">
      <c r="A50" s="243"/>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row>
    <row r="51" spans="1:27" x14ac:dyDescent="0.2">
      <c r="A51" s="243"/>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row>
  </sheetData>
  <sheetProtection algorithmName="SHA-512" hashValue="HV0nj5UeNC86Spy1ifxK9mbES6+s0lqz4+kBNW1IsoxQDVVbqBOr/fVj4b3egEqWCi0zWKUPsrMRKaYkD6+NzQ==" saltValue="LxTW3kAqcpUMQNgmJ1MY2w==" spinCount="100000" sheet="1" objects="1" scenarios="1"/>
  <mergeCells count="45">
    <mergeCell ref="X24:X25"/>
    <mergeCell ref="Y24:Z24"/>
    <mergeCell ref="Y25:Z25"/>
    <mergeCell ref="X7:X8"/>
    <mergeCell ref="Y7:Z7"/>
    <mergeCell ref="Y8:Z8"/>
    <mergeCell ref="X16:X17"/>
    <mergeCell ref="Y16:Z16"/>
    <mergeCell ref="Y17:Z17"/>
    <mergeCell ref="U16:U17"/>
    <mergeCell ref="V16:W16"/>
    <mergeCell ref="V17:W17"/>
    <mergeCell ref="U24:U25"/>
    <mergeCell ref="V24:W24"/>
    <mergeCell ref="V25:W25"/>
    <mergeCell ref="U7:U8"/>
    <mergeCell ref="V7:W7"/>
    <mergeCell ref="V8:W8"/>
    <mergeCell ref="B24:B25"/>
    <mergeCell ref="C24:H24"/>
    <mergeCell ref="I24:N25"/>
    <mergeCell ref="P24:P25"/>
    <mergeCell ref="Q24:R24"/>
    <mergeCell ref="C25:D25"/>
    <mergeCell ref="E25:H25"/>
    <mergeCell ref="Q25:R25"/>
    <mergeCell ref="B16:B17"/>
    <mergeCell ref="C16:H16"/>
    <mergeCell ref="I16:N17"/>
    <mergeCell ref="P16:P17"/>
    <mergeCell ref="Q16:R16"/>
    <mergeCell ref="C17:D17"/>
    <mergeCell ref="E17:H17"/>
    <mergeCell ref="Q17:R17"/>
    <mergeCell ref="B2:S2"/>
    <mergeCell ref="B7:B8"/>
    <mergeCell ref="C7:H7"/>
    <mergeCell ref="I7:N8"/>
    <mergeCell ref="P7:P8"/>
    <mergeCell ref="Q7:R7"/>
    <mergeCell ref="C8:D8"/>
    <mergeCell ref="E8:H8"/>
    <mergeCell ref="Q8:R8"/>
    <mergeCell ref="C3:S3"/>
    <mergeCell ref="C4:S4"/>
  </mergeCells>
  <phoneticPr fontId="1"/>
  <conditionalFormatting sqref="A9:A13 O9:O13">
    <cfRule type="expression" dxfId="38" priority="123">
      <formula>COUNTIF(A$9:A$13,"○")=1</formula>
    </cfRule>
  </conditionalFormatting>
  <conditionalFormatting sqref="A18:A21 O18:O21">
    <cfRule type="expression" dxfId="37" priority="121">
      <formula>COUNTIF(A$18:A$21,"○")=1</formula>
    </cfRule>
  </conditionalFormatting>
  <conditionalFormatting sqref="A26:A29 O26:O29">
    <cfRule type="expression" dxfId="36" priority="122">
      <formula>COUNTIF(A$26:A$29,"○")=1</formula>
    </cfRule>
  </conditionalFormatting>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名前2!$B$1:$B$2</xm:f>
          </x14:formula1>
          <xm:sqref>O18:O21 O9:O13 A26:A29 A18:A21 A9:A13 O26:O29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C44"/>
  <sheetViews>
    <sheetView view="pageBreakPreview" zoomScaleNormal="100" zoomScaleSheetLayoutView="100" workbookViewId="0">
      <selection activeCell="AB23" sqref="AB23"/>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33203125" style="1" bestFit="1" customWidth="1"/>
    <col min="16" max="16" width="9" style="1"/>
    <col min="17" max="17" width="7.6640625" style="1" customWidth="1"/>
    <col min="18" max="18" width="3.88671875" style="1" customWidth="1"/>
    <col min="19" max="19" width="5.6640625" style="1" customWidth="1"/>
    <col min="20"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88671875" style="1" customWidth="1"/>
    <col min="275" max="275" width="5.6640625" style="1" customWidth="1"/>
    <col min="276" max="276" width="9" style="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88671875" style="1" customWidth="1"/>
    <col min="531" max="531" width="5.6640625" style="1" customWidth="1"/>
    <col min="532" max="532" width="9" style="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88671875" style="1" customWidth="1"/>
    <col min="787" max="787" width="5.6640625" style="1" customWidth="1"/>
    <col min="788" max="788" width="9" style="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88671875" style="1" customWidth="1"/>
    <col min="1043" max="1043" width="5.6640625" style="1" customWidth="1"/>
    <col min="1044" max="1044" width="9" style="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88671875" style="1" customWidth="1"/>
    <col min="1299" max="1299" width="5.6640625" style="1" customWidth="1"/>
    <col min="1300" max="1300" width="9" style="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88671875" style="1" customWidth="1"/>
    <col min="1555" max="1555" width="5.6640625" style="1" customWidth="1"/>
    <col min="1556" max="1556" width="9" style="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88671875" style="1" customWidth="1"/>
    <col min="1811" max="1811" width="5.6640625" style="1" customWidth="1"/>
    <col min="1812" max="1812" width="9" style="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88671875" style="1" customWidth="1"/>
    <col min="2067" max="2067" width="5.6640625" style="1" customWidth="1"/>
    <col min="2068" max="2068" width="9" style="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88671875" style="1" customWidth="1"/>
    <col min="2323" max="2323" width="5.6640625" style="1" customWidth="1"/>
    <col min="2324" max="2324" width="9" style="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88671875" style="1" customWidth="1"/>
    <col min="2579" max="2579" width="5.6640625" style="1" customWidth="1"/>
    <col min="2580" max="2580" width="9" style="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88671875" style="1" customWidth="1"/>
    <col min="2835" max="2835" width="5.6640625" style="1" customWidth="1"/>
    <col min="2836" max="2836" width="9" style="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88671875" style="1" customWidth="1"/>
    <col min="3091" max="3091" width="5.6640625" style="1" customWidth="1"/>
    <col min="3092" max="3092" width="9" style="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88671875" style="1" customWidth="1"/>
    <col min="3347" max="3347" width="5.6640625" style="1" customWidth="1"/>
    <col min="3348" max="3348" width="9" style="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88671875" style="1" customWidth="1"/>
    <col min="3603" max="3603" width="5.6640625" style="1" customWidth="1"/>
    <col min="3604" max="3604" width="9" style="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88671875" style="1" customWidth="1"/>
    <col min="3859" max="3859" width="5.6640625" style="1" customWidth="1"/>
    <col min="3860" max="3860" width="9" style="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88671875" style="1" customWidth="1"/>
    <col min="4115" max="4115" width="5.6640625" style="1" customWidth="1"/>
    <col min="4116" max="4116" width="9" style="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88671875" style="1" customWidth="1"/>
    <col min="4371" max="4371" width="5.6640625" style="1" customWidth="1"/>
    <col min="4372" max="4372" width="9" style="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88671875" style="1" customWidth="1"/>
    <col min="4627" max="4627" width="5.6640625" style="1" customWidth="1"/>
    <col min="4628" max="4628" width="9" style="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88671875" style="1" customWidth="1"/>
    <col min="4883" max="4883" width="5.6640625" style="1" customWidth="1"/>
    <col min="4884" max="4884" width="9" style="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88671875" style="1" customWidth="1"/>
    <col min="5139" max="5139" width="5.6640625" style="1" customWidth="1"/>
    <col min="5140" max="5140" width="9" style="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88671875" style="1" customWidth="1"/>
    <col min="5395" max="5395" width="5.6640625" style="1" customWidth="1"/>
    <col min="5396" max="5396" width="9" style="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88671875" style="1" customWidth="1"/>
    <col min="5651" max="5651" width="5.6640625" style="1" customWidth="1"/>
    <col min="5652" max="5652" width="9" style="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88671875" style="1" customWidth="1"/>
    <col min="5907" max="5907" width="5.6640625" style="1" customWidth="1"/>
    <col min="5908" max="5908" width="9" style="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88671875" style="1" customWidth="1"/>
    <col min="6163" max="6163" width="5.6640625" style="1" customWidth="1"/>
    <col min="6164" max="6164" width="9" style="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88671875" style="1" customWidth="1"/>
    <col min="6419" max="6419" width="5.6640625" style="1" customWidth="1"/>
    <col min="6420" max="6420" width="9" style="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88671875" style="1" customWidth="1"/>
    <col min="6675" max="6675" width="5.6640625" style="1" customWidth="1"/>
    <col min="6676" max="6676" width="9" style="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88671875" style="1" customWidth="1"/>
    <col min="6931" max="6931" width="5.6640625" style="1" customWidth="1"/>
    <col min="6932" max="6932" width="9" style="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88671875" style="1" customWidth="1"/>
    <col min="7187" max="7187" width="5.6640625" style="1" customWidth="1"/>
    <col min="7188" max="7188" width="9" style="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88671875" style="1" customWidth="1"/>
    <col min="7443" max="7443" width="5.6640625" style="1" customWidth="1"/>
    <col min="7444" max="7444" width="9" style="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88671875" style="1" customWidth="1"/>
    <col min="7699" max="7699" width="5.6640625" style="1" customWidth="1"/>
    <col min="7700" max="7700" width="9" style="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88671875" style="1" customWidth="1"/>
    <col min="7955" max="7955" width="5.6640625" style="1" customWidth="1"/>
    <col min="7956" max="7956" width="9" style="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88671875" style="1" customWidth="1"/>
    <col min="8211" max="8211" width="5.6640625" style="1" customWidth="1"/>
    <col min="8212" max="8212" width="9" style="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88671875" style="1" customWidth="1"/>
    <col min="8467" max="8467" width="5.6640625" style="1" customWidth="1"/>
    <col min="8468" max="8468" width="9" style="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88671875" style="1" customWidth="1"/>
    <col min="8723" max="8723" width="5.6640625" style="1" customWidth="1"/>
    <col min="8724" max="8724" width="9" style="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88671875" style="1" customWidth="1"/>
    <col min="8979" max="8979" width="5.6640625" style="1" customWidth="1"/>
    <col min="8980" max="8980" width="9" style="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88671875" style="1" customWidth="1"/>
    <col min="9235" max="9235" width="5.6640625" style="1" customWidth="1"/>
    <col min="9236" max="9236" width="9" style="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88671875" style="1" customWidth="1"/>
    <col min="9491" max="9491" width="5.6640625" style="1" customWidth="1"/>
    <col min="9492" max="9492" width="9" style="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88671875" style="1" customWidth="1"/>
    <col min="9747" max="9747" width="5.6640625" style="1" customWidth="1"/>
    <col min="9748" max="9748" width="9" style="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88671875" style="1" customWidth="1"/>
    <col min="10003" max="10003" width="5.6640625" style="1" customWidth="1"/>
    <col min="10004" max="10004" width="9" style="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88671875" style="1" customWidth="1"/>
    <col min="10259" max="10259" width="5.6640625" style="1" customWidth="1"/>
    <col min="10260" max="10260" width="9" style="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88671875" style="1" customWidth="1"/>
    <col min="10515" max="10515" width="5.6640625" style="1" customWidth="1"/>
    <col min="10516" max="10516" width="9" style="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88671875" style="1" customWidth="1"/>
    <col min="10771" max="10771" width="5.6640625" style="1" customWidth="1"/>
    <col min="10772" max="10772" width="9" style="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88671875" style="1" customWidth="1"/>
    <col min="11027" max="11027" width="5.6640625" style="1" customWidth="1"/>
    <col min="11028" max="11028" width="9" style="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88671875" style="1" customWidth="1"/>
    <col min="11283" max="11283" width="5.6640625" style="1" customWidth="1"/>
    <col min="11284" max="11284" width="9" style="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88671875" style="1" customWidth="1"/>
    <col min="11539" max="11539" width="5.6640625" style="1" customWidth="1"/>
    <col min="11540" max="11540" width="9" style="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88671875" style="1" customWidth="1"/>
    <col min="11795" max="11795" width="5.6640625" style="1" customWidth="1"/>
    <col min="11796" max="11796" width="9" style="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88671875" style="1" customWidth="1"/>
    <col min="12051" max="12051" width="5.6640625" style="1" customWidth="1"/>
    <col min="12052" max="12052" width="9" style="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88671875" style="1" customWidth="1"/>
    <col min="12307" max="12307" width="5.6640625" style="1" customWidth="1"/>
    <col min="12308" max="12308" width="9" style="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88671875" style="1" customWidth="1"/>
    <col min="12563" max="12563" width="5.6640625" style="1" customWidth="1"/>
    <col min="12564" max="12564" width="9" style="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88671875" style="1" customWidth="1"/>
    <col min="12819" max="12819" width="5.6640625" style="1" customWidth="1"/>
    <col min="12820" max="12820" width="9" style="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88671875" style="1" customWidth="1"/>
    <col min="13075" max="13075" width="5.6640625" style="1" customWidth="1"/>
    <col min="13076" max="13076" width="9" style="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88671875" style="1" customWidth="1"/>
    <col min="13331" max="13331" width="5.6640625" style="1" customWidth="1"/>
    <col min="13332" max="13332" width="9" style="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88671875" style="1" customWidth="1"/>
    <col min="13587" max="13587" width="5.6640625" style="1" customWidth="1"/>
    <col min="13588" max="13588" width="9" style="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88671875" style="1" customWidth="1"/>
    <col min="13843" max="13843" width="5.6640625" style="1" customWidth="1"/>
    <col min="13844" max="13844" width="9" style="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88671875" style="1" customWidth="1"/>
    <col min="14099" max="14099" width="5.6640625" style="1" customWidth="1"/>
    <col min="14100" max="14100" width="9" style="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88671875" style="1" customWidth="1"/>
    <col min="14355" max="14355" width="5.6640625" style="1" customWidth="1"/>
    <col min="14356" max="14356" width="9" style="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88671875" style="1" customWidth="1"/>
    <col min="14611" max="14611" width="5.6640625" style="1" customWidth="1"/>
    <col min="14612" max="14612" width="9" style="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88671875" style="1" customWidth="1"/>
    <col min="14867" max="14867" width="5.6640625" style="1" customWidth="1"/>
    <col min="14868" max="14868" width="9" style="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88671875" style="1" customWidth="1"/>
    <col min="15123" max="15123" width="5.6640625" style="1" customWidth="1"/>
    <col min="15124" max="15124" width="9" style="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88671875" style="1" customWidth="1"/>
    <col min="15379" max="15379" width="5.6640625" style="1" customWidth="1"/>
    <col min="15380" max="15380" width="9" style="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88671875" style="1" customWidth="1"/>
    <col min="15635" max="15635" width="5.6640625" style="1" customWidth="1"/>
    <col min="15636" max="15636" width="9" style="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88671875" style="1" customWidth="1"/>
    <col min="15891" max="15891" width="5.6640625" style="1" customWidth="1"/>
    <col min="15892" max="15892" width="9" style="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88671875" style="1" customWidth="1"/>
    <col min="16147" max="16147" width="5.6640625" style="1" customWidth="1"/>
    <col min="16148" max="16148" width="9" style="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row>
    <row r="2" spans="1:29" ht="13.5" customHeight="1" x14ac:dyDescent="0.2">
      <c r="A2" s="446"/>
      <c r="B2" s="549" t="s">
        <v>29</v>
      </c>
      <c r="C2" s="549"/>
      <c r="D2" s="549"/>
      <c r="E2" s="549"/>
      <c r="F2" s="549"/>
      <c r="G2" s="549"/>
      <c r="H2" s="549"/>
      <c r="I2" s="549"/>
      <c r="J2" s="549"/>
      <c r="K2" s="549"/>
      <c r="L2" s="549"/>
      <c r="M2" s="549"/>
      <c r="N2" s="549"/>
      <c r="O2" s="549"/>
      <c r="P2" s="549"/>
      <c r="Q2" s="549"/>
      <c r="R2" s="549"/>
      <c r="S2" s="187"/>
      <c r="T2" s="186"/>
      <c r="U2" s="186"/>
      <c r="V2" s="186"/>
      <c r="W2" s="186"/>
      <c r="X2" s="186"/>
      <c r="Y2" s="186"/>
      <c r="Z2" s="186"/>
      <c r="AA2" s="186"/>
      <c r="AB2" s="186"/>
      <c r="AC2" s="186"/>
    </row>
    <row r="3" spans="1:29" ht="13.5" customHeight="1" x14ac:dyDescent="0.2">
      <c r="A3" s="446"/>
      <c r="B3" s="187"/>
      <c r="C3" s="561" t="s">
        <v>324</v>
      </c>
      <c r="D3" s="561"/>
      <c r="E3" s="561"/>
      <c r="F3" s="561"/>
      <c r="G3" s="561"/>
      <c r="H3" s="561"/>
      <c r="I3" s="561"/>
      <c r="J3" s="561"/>
      <c r="K3" s="561"/>
      <c r="L3" s="561"/>
      <c r="M3" s="561"/>
      <c r="N3" s="561"/>
      <c r="O3" s="561"/>
      <c r="P3" s="561"/>
      <c r="Q3" s="561"/>
      <c r="R3" s="561"/>
      <c r="S3" s="561"/>
      <c r="T3" s="186"/>
      <c r="U3" s="186"/>
      <c r="V3" s="186"/>
      <c r="W3" s="186"/>
      <c r="X3" s="186"/>
      <c r="Y3" s="186"/>
      <c r="Z3" s="186"/>
      <c r="AA3" s="186"/>
      <c r="AB3" s="186"/>
      <c r="AC3" s="186"/>
    </row>
    <row r="4" spans="1:29" ht="13.5" customHeight="1" x14ac:dyDescent="0.2">
      <c r="A4" s="243" t="s">
        <v>1</v>
      </c>
      <c r="B4" s="186"/>
      <c r="C4" s="522" t="s">
        <v>478</v>
      </c>
      <c r="D4" s="522"/>
      <c r="E4" s="522"/>
      <c r="F4" s="522"/>
      <c r="G4" s="522"/>
      <c r="H4" s="522"/>
      <c r="I4" s="522"/>
      <c r="J4" s="522"/>
      <c r="K4" s="522"/>
      <c r="L4" s="522"/>
      <c r="M4" s="522"/>
      <c r="N4" s="522"/>
      <c r="O4" s="522"/>
      <c r="P4" s="522"/>
      <c r="Q4" s="522"/>
      <c r="R4" s="522"/>
      <c r="S4" s="522"/>
      <c r="T4" s="186"/>
      <c r="U4" s="186"/>
      <c r="V4" s="186"/>
      <c r="W4" s="186"/>
      <c r="X4" s="186"/>
      <c r="Y4" s="186"/>
      <c r="Z4" s="186"/>
      <c r="AA4" s="186"/>
      <c r="AB4" s="186" t="s">
        <v>319</v>
      </c>
      <c r="AC4" s="186"/>
    </row>
    <row r="5" spans="1:29" ht="13.5" customHeight="1" x14ac:dyDescent="0.2">
      <c r="A5" s="243"/>
      <c r="B5" s="186"/>
      <c r="C5" s="186"/>
      <c r="D5" s="188" t="s">
        <v>259</v>
      </c>
      <c r="E5" s="186"/>
      <c r="F5" s="186"/>
      <c r="G5" s="186"/>
      <c r="H5" s="189" t="str">
        <f>HYPERLINK("#手引き!B46","手引きへ戻る")</f>
        <v>手引きへ戻る</v>
      </c>
      <c r="I5" s="186"/>
      <c r="J5" s="186"/>
      <c r="K5" s="186"/>
      <c r="L5" s="186"/>
      <c r="M5" s="186"/>
      <c r="N5" s="186"/>
      <c r="O5" s="186"/>
      <c r="P5" s="186"/>
      <c r="Q5" s="186"/>
      <c r="R5" s="186"/>
      <c r="S5" s="186"/>
      <c r="T5" s="186"/>
      <c r="U5" s="186" t="s">
        <v>317</v>
      </c>
      <c r="V5" s="186"/>
      <c r="W5" s="186"/>
      <c r="X5" s="186"/>
      <c r="Y5" s="186"/>
      <c r="Z5" s="186"/>
      <c r="AA5" s="186"/>
      <c r="AB5" s="186" t="s">
        <v>322</v>
      </c>
      <c r="AC5" s="186" t="s">
        <v>323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50"/>
      <c r="C7" s="552" t="s">
        <v>3</v>
      </c>
      <c r="D7" s="552"/>
      <c r="E7" s="552"/>
      <c r="F7" s="552"/>
      <c r="G7" s="552"/>
      <c r="H7" s="553"/>
      <c r="I7" s="554" t="s">
        <v>4</v>
      </c>
      <c r="J7" s="555"/>
      <c r="K7" s="555"/>
      <c r="L7" s="555"/>
      <c r="M7" s="555"/>
      <c r="N7" s="556"/>
      <c r="O7" s="186"/>
      <c r="P7" s="550"/>
      <c r="Q7" s="566" t="s">
        <v>5</v>
      </c>
      <c r="R7" s="560"/>
      <c r="S7" s="192"/>
      <c r="T7" s="186"/>
      <c r="U7" s="550"/>
      <c r="V7" s="552" t="s">
        <v>5</v>
      </c>
      <c r="W7" s="560"/>
      <c r="X7" s="550"/>
      <c r="Y7" s="552" t="s">
        <v>5</v>
      </c>
      <c r="Z7" s="560"/>
      <c r="AA7" s="186"/>
      <c r="AB7" s="191"/>
      <c r="AC7" s="191" t="str">
        <f>HLOOKUP($AC$5,名前2!$C:$J,3,0)</f>
        <v>「普通自動車」という。）又は小型自動車（以下「小型</v>
      </c>
    </row>
    <row r="8" spans="1:29" ht="30" customHeight="1" thickBot="1" x14ac:dyDescent="0.25">
      <c r="A8" s="447" t="str">
        <f>IF(COUNTIF(A9:A14,"○")=0,"無","")</f>
        <v>無</v>
      </c>
      <c r="B8" s="551"/>
      <c r="C8" s="567" t="s">
        <v>30</v>
      </c>
      <c r="D8" s="568"/>
      <c r="E8" s="544" t="s">
        <v>6</v>
      </c>
      <c r="F8" s="545"/>
      <c r="G8" s="545"/>
      <c r="H8" s="546"/>
      <c r="I8" s="557"/>
      <c r="J8" s="558"/>
      <c r="K8" s="558"/>
      <c r="L8" s="558"/>
      <c r="M8" s="558"/>
      <c r="N8" s="559"/>
      <c r="O8" s="193" t="str">
        <f>IF(COUNTIF(O9:O14,"○")=0,"無","")</f>
        <v>無</v>
      </c>
      <c r="P8" s="551"/>
      <c r="Q8" s="547">
        <v>30</v>
      </c>
      <c r="R8" s="548"/>
      <c r="S8" s="194"/>
      <c r="T8" s="186"/>
      <c r="U8" s="551"/>
      <c r="V8" s="547">
        <v>15</v>
      </c>
      <c r="W8" s="548"/>
      <c r="X8" s="551"/>
      <c r="Y8" s="547">
        <v>10</v>
      </c>
      <c r="Z8" s="548"/>
      <c r="AA8" s="186"/>
      <c r="AB8" s="191"/>
      <c r="AC8" s="191" t="str">
        <f>HLOOKUP($AC$5,名前2!$C:$J,4,0)</f>
        <v>自動車」という。）のうち乗車定員が９名以上のもの。</v>
      </c>
    </row>
    <row r="9" spans="1:29" ht="16.5" customHeight="1" thickTop="1" x14ac:dyDescent="0.2">
      <c r="A9" s="448"/>
      <c r="B9" s="195" t="s">
        <v>8</v>
      </c>
      <c r="C9" s="196">
        <v>690</v>
      </c>
      <c r="D9" s="197" t="s">
        <v>9</v>
      </c>
      <c r="E9" s="198">
        <v>200</v>
      </c>
      <c r="F9" s="199" t="s">
        <v>10</v>
      </c>
      <c r="G9" s="200">
        <v>100</v>
      </c>
      <c r="H9" s="197" t="s">
        <v>9</v>
      </c>
      <c r="I9" s="201">
        <f>TRUNC(CEILING(ROUNDUP(E9*0.36,0),5)/60,0)</f>
        <v>1</v>
      </c>
      <c r="J9" s="202" t="s">
        <v>11</v>
      </c>
      <c r="K9" s="203">
        <f>TRUNC(CEILING(ROUNDUP(E9*0.36,0),5)-I9*60,0)</f>
        <v>15</v>
      </c>
      <c r="L9" s="204" t="s">
        <v>12</v>
      </c>
      <c r="M9" s="205">
        <v>100</v>
      </c>
      <c r="N9" s="206" t="s">
        <v>9</v>
      </c>
      <c r="O9" s="185"/>
      <c r="P9" s="195" t="s">
        <v>8</v>
      </c>
      <c r="Q9" s="207">
        <v>3150</v>
      </c>
      <c r="R9" s="206" t="s">
        <v>9</v>
      </c>
      <c r="S9" s="208"/>
      <c r="T9" s="186"/>
      <c r="U9" s="195" t="str">
        <f>P9</f>
        <v>上限運賃</v>
      </c>
      <c r="V9" s="207">
        <f>ROUNDDOWN($Q9*$V$8/$Q$8,-1)</f>
        <v>1570</v>
      </c>
      <c r="W9" s="209" t="s">
        <v>9</v>
      </c>
      <c r="X9" s="195" t="str">
        <f>P9</f>
        <v>上限運賃</v>
      </c>
      <c r="Y9" s="207">
        <f>ROUNDDOWN($Q9*$Y$8/$Q$8,-1)</f>
        <v>1050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228" t="s">
        <v>13</v>
      </c>
      <c r="C10" s="229">
        <f>C9-10</f>
        <v>680</v>
      </c>
      <c r="D10" s="230" t="s">
        <v>9</v>
      </c>
      <c r="E10" s="231">
        <f>ROUND(E$9/(C10/C$9),0)</f>
        <v>203</v>
      </c>
      <c r="F10" s="229" t="s">
        <v>10</v>
      </c>
      <c r="G10" s="229">
        <v>100</v>
      </c>
      <c r="H10" s="230" t="s">
        <v>9</v>
      </c>
      <c r="I10" s="201">
        <f>TRUNC(CEILING(ROUNDUP(E10*0.36,0),5)/60,0)</f>
        <v>1</v>
      </c>
      <c r="J10" s="202" t="s">
        <v>11</v>
      </c>
      <c r="K10" s="203">
        <f>TRUNC(CEILING(ROUNDUP(E10*0.36,0),5)-I10*60,0)</f>
        <v>15</v>
      </c>
      <c r="L10" s="204" t="s">
        <v>12</v>
      </c>
      <c r="M10" s="229">
        <v>100</v>
      </c>
      <c r="N10" s="232" t="s">
        <v>9</v>
      </c>
      <c r="O10" s="185"/>
      <c r="P10" s="228" t="s">
        <v>13</v>
      </c>
      <c r="Q10" s="233">
        <f>ROUNDUP((C10/$C$9)*Q$9,-1)</f>
        <v>3110</v>
      </c>
      <c r="R10" s="232" t="s">
        <v>9</v>
      </c>
      <c r="S10" s="208"/>
      <c r="T10" s="186"/>
      <c r="U10" s="228" t="str">
        <f t="shared" ref="U10:U11" si="0">P10</f>
        <v>Ｂ運賃</v>
      </c>
      <c r="V10" s="234">
        <f t="shared" ref="V10:V11" si="1">ROUNDDOWN($Q10*$V$8/$Q$8,-1)</f>
        <v>1550</v>
      </c>
      <c r="W10" s="232" t="s">
        <v>9</v>
      </c>
      <c r="X10" s="228" t="str">
        <f t="shared" ref="X10:X11" si="2">P10</f>
        <v>Ｂ運賃</v>
      </c>
      <c r="Y10" s="234">
        <f t="shared" ref="Y10:Y11" si="3">ROUNDDOWN($Q10*$Y$8/$Q$8,-1)</f>
        <v>1030</v>
      </c>
      <c r="Z10" s="232" t="s">
        <v>9</v>
      </c>
      <c r="AA10" s="186"/>
      <c r="AB10" s="191"/>
      <c r="AC10" s="191" t="str">
        <f>HLOOKUP($AC$5,名前2!$C:$J,6,0)</f>
        <v>動車にあっては２．５リットル。）を超えるもので</v>
      </c>
    </row>
    <row r="11" spans="1:29" ht="16.5" customHeight="1" thickBot="1" x14ac:dyDescent="0.25">
      <c r="A11" s="448"/>
      <c r="B11" s="226" t="s">
        <v>7</v>
      </c>
      <c r="C11" s="211">
        <f>C10-10</f>
        <v>670</v>
      </c>
      <c r="D11" s="212" t="s">
        <v>9</v>
      </c>
      <c r="E11" s="213">
        <f>ROUND(E$9/(C11/C$9),0)</f>
        <v>206</v>
      </c>
      <c r="F11" s="211" t="s">
        <v>10</v>
      </c>
      <c r="G11" s="211">
        <v>100</v>
      </c>
      <c r="H11" s="212" t="s">
        <v>9</v>
      </c>
      <c r="I11" s="214">
        <f>TRUNC(CEILING(ROUNDUP(E11*0.36,0),5)/60,0)</f>
        <v>1</v>
      </c>
      <c r="J11" s="215" t="s">
        <v>11</v>
      </c>
      <c r="K11" s="216">
        <f>TRUNC(CEILING(ROUNDUP(E11*0.36,0),5)-I11*60,0)</f>
        <v>15</v>
      </c>
      <c r="L11" s="217" t="s">
        <v>12</v>
      </c>
      <c r="M11" s="211">
        <v>100</v>
      </c>
      <c r="N11" s="218" t="s">
        <v>9</v>
      </c>
      <c r="O11" s="185"/>
      <c r="P11" s="226" t="s">
        <v>7</v>
      </c>
      <c r="Q11" s="219">
        <f>ROUNDUP((C11/$C$9)*Q$9,-1)</f>
        <v>3060</v>
      </c>
      <c r="R11" s="218" t="s">
        <v>9</v>
      </c>
      <c r="S11" s="208"/>
      <c r="T11" s="186"/>
      <c r="U11" s="226" t="str">
        <f t="shared" si="0"/>
        <v>下限運賃</v>
      </c>
      <c r="V11" s="235">
        <f t="shared" si="1"/>
        <v>1530</v>
      </c>
      <c r="W11" s="218" t="s">
        <v>9</v>
      </c>
      <c r="X11" s="226" t="str">
        <f t="shared" si="2"/>
        <v>下限運賃</v>
      </c>
      <c r="Y11" s="235">
        <f t="shared" si="3"/>
        <v>1020</v>
      </c>
      <c r="Z11" s="218" t="s">
        <v>9</v>
      </c>
      <c r="AA11" s="186"/>
      <c r="AB11" s="191"/>
      <c r="AC11" s="191" t="str">
        <f>HLOOKUP($AC$5,名前2!$C:$J,7,0)</f>
        <v>あって乗車定員が８名以下のもの。</v>
      </c>
    </row>
    <row r="12" spans="1:29" ht="13.5" customHeight="1" x14ac:dyDescent="0.2">
      <c r="A12" s="243"/>
      <c r="B12" s="186"/>
      <c r="C12" s="186"/>
      <c r="D12" s="186"/>
      <c r="E12" s="186"/>
      <c r="F12" s="186"/>
      <c r="G12" s="186"/>
      <c r="H12" s="186"/>
      <c r="I12" s="186"/>
      <c r="J12" s="186"/>
      <c r="K12" s="186"/>
      <c r="L12" s="186"/>
      <c r="M12" s="186"/>
      <c r="N12" s="186"/>
      <c r="O12" s="208"/>
      <c r="P12" s="186"/>
      <c r="Q12" s="186"/>
      <c r="R12" s="186"/>
      <c r="S12" s="186"/>
      <c r="T12" s="186"/>
      <c r="U12" s="186"/>
      <c r="V12" s="186"/>
      <c r="W12" s="186"/>
      <c r="X12" s="186"/>
      <c r="Y12" s="186"/>
      <c r="Z12" s="186"/>
      <c r="AA12" s="186"/>
      <c r="AB12" s="191" t="str">
        <f>HLOOKUP($AB$5,名前2!$C:$J,8,0)</f>
        <v>普　通　車</v>
      </c>
      <c r="AC12" s="191" t="str">
        <f>HLOOKUP($AC$5,名前2!$C:$J,8,0)</f>
        <v>以下のいずれかに該当する自動車。</v>
      </c>
    </row>
    <row r="13" spans="1:29" ht="16.5" customHeight="1" thickBot="1" x14ac:dyDescent="0.25">
      <c r="A13" s="243" t="s">
        <v>19</v>
      </c>
      <c r="B13" s="186"/>
      <c r="C13" s="186"/>
      <c r="D13" s="186"/>
      <c r="E13" s="186"/>
      <c r="F13" s="186"/>
      <c r="G13" s="186"/>
      <c r="H13" s="186"/>
      <c r="I13" s="186"/>
      <c r="J13" s="186"/>
      <c r="K13" s="186"/>
      <c r="L13" s="186"/>
      <c r="M13" s="186"/>
      <c r="N13" s="186"/>
      <c r="O13" s="208"/>
      <c r="P13" s="186"/>
      <c r="Q13" s="186"/>
      <c r="R13" s="186"/>
      <c r="S13" s="186"/>
      <c r="T13" s="186"/>
      <c r="U13" s="186"/>
      <c r="V13" s="186"/>
      <c r="W13" s="186"/>
      <c r="X13" s="186"/>
      <c r="Y13" s="186"/>
      <c r="Z13" s="186"/>
      <c r="AA13" s="186"/>
      <c r="AB13" s="191"/>
      <c r="AC13" s="191" t="str">
        <f>HLOOKUP($AC$5,名前2!$C:$J,9,0)</f>
        <v>一　普通自動車又は小型自動車のうち特定大型車及び大型</v>
      </c>
    </row>
    <row r="14" spans="1:29" ht="16.5" customHeight="1" x14ac:dyDescent="0.2">
      <c r="A14" s="243"/>
      <c r="B14" s="550"/>
      <c r="C14" s="552" t="s">
        <v>3</v>
      </c>
      <c r="D14" s="552"/>
      <c r="E14" s="552"/>
      <c r="F14" s="552"/>
      <c r="G14" s="552"/>
      <c r="H14" s="553"/>
      <c r="I14" s="554" t="s">
        <v>4</v>
      </c>
      <c r="J14" s="555"/>
      <c r="K14" s="555"/>
      <c r="L14" s="555"/>
      <c r="M14" s="555"/>
      <c r="N14" s="556"/>
      <c r="O14" s="208"/>
      <c r="P14" s="550"/>
      <c r="Q14" s="566" t="s">
        <v>5</v>
      </c>
      <c r="R14" s="560"/>
      <c r="S14" s="192"/>
      <c r="T14" s="186"/>
      <c r="U14" s="550"/>
      <c r="V14" s="552" t="s">
        <v>5</v>
      </c>
      <c r="W14" s="560"/>
      <c r="X14" s="550"/>
      <c r="Y14" s="552" t="s">
        <v>5</v>
      </c>
      <c r="Z14" s="560"/>
      <c r="AA14" s="186"/>
      <c r="AB14" s="191"/>
      <c r="AC14" s="191" t="str">
        <f>HLOOKUP($AC$5,名前2!$C:$J,10,0)</f>
        <v>車に該当する自動車以外のもの。</v>
      </c>
    </row>
    <row r="15" spans="1:29" ht="30" customHeight="1" thickBot="1" x14ac:dyDescent="0.25">
      <c r="A15" s="447" t="str">
        <f>IF(COUNTIF(A16:A21,"○")=0,"無","")</f>
        <v>無</v>
      </c>
      <c r="B15" s="551"/>
      <c r="C15" s="567" t="s">
        <v>30</v>
      </c>
      <c r="D15" s="568"/>
      <c r="E15" s="544" t="s">
        <v>6</v>
      </c>
      <c r="F15" s="545"/>
      <c r="G15" s="545"/>
      <c r="H15" s="546"/>
      <c r="I15" s="557"/>
      <c r="J15" s="558"/>
      <c r="K15" s="558"/>
      <c r="L15" s="558"/>
      <c r="M15" s="558"/>
      <c r="N15" s="559"/>
      <c r="O15" s="193" t="str">
        <f>IF(COUNTIF(O16:O21,"○")=0,"無","")</f>
        <v>無</v>
      </c>
      <c r="P15" s="551"/>
      <c r="Q15" s="547">
        <v>30</v>
      </c>
      <c r="R15" s="548"/>
      <c r="S15" s="194"/>
      <c r="T15" s="186"/>
      <c r="U15" s="551"/>
      <c r="V15" s="547">
        <v>15</v>
      </c>
      <c r="W15" s="548"/>
      <c r="X15" s="551"/>
      <c r="Y15" s="547">
        <v>10</v>
      </c>
      <c r="Z15" s="548"/>
      <c r="AA15" s="186"/>
      <c r="AB15" s="191"/>
      <c r="AC15" s="191" t="str">
        <f>HLOOKUP($AC$5,名前2!$C:$J,11,0)</f>
        <v>二　道路運送車両法施行規則第２条に定める軽自動車（</v>
      </c>
    </row>
    <row r="16" spans="1:29" ht="16.5" customHeight="1" thickTop="1" x14ac:dyDescent="0.2">
      <c r="A16" s="448"/>
      <c r="B16" s="195" t="s">
        <v>8</v>
      </c>
      <c r="C16" s="196">
        <v>640</v>
      </c>
      <c r="D16" s="197" t="s">
        <v>9</v>
      </c>
      <c r="E16" s="198">
        <v>216</v>
      </c>
      <c r="F16" s="199" t="s">
        <v>10</v>
      </c>
      <c r="G16" s="200">
        <v>100</v>
      </c>
      <c r="H16" s="197" t="s">
        <v>9</v>
      </c>
      <c r="I16" s="201">
        <f>TRUNC(CEILING(ROUNDUP(E16*0.36,0),5)/60,0)</f>
        <v>1</v>
      </c>
      <c r="J16" s="202" t="s">
        <v>11</v>
      </c>
      <c r="K16" s="203">
        <f>TRUNC(CEILING(ROUNDUP(E16*0.36,0),5)-I16*60,0)</f>
        <v>20</v>
      </c>
      <c r="L16" s="204" t="s">
        <v>12</v>
      </c>
      <c r="M16" s="205">
        <v>100</v>
      </c>
      <c r="N16" s="206" t="s">
        <v>9</v>
      </c>
      <c r="O16" s="185"/>
      <c r="P16" s="195" t="s">
        <v>8</v>
      </c>
      <c r="Q16" s="207">
        <v>2900</v>
      </c>
      <c r="R16" s="206" t="s">
        <v>9</v>
      </c>
      <c r="S16" s="208"/>
      <c r="T16" s="186"/>
      <c r="U16" s="195" t="str">
        <f>P16</f>
        <v>上限運賃</v>
      </c>
      <c r="V16" s="207">
        <f>ROUNDDOWN($Q16*$V$8/$Q$8,-1)</f>
        <v>1450</v>
      </c>
      <c r="W16" s="209" t="s">
        <v>9</v>
      </c>
      <c r="X16" s="195" t="str">
        <f>P16</f>
        <v>上限運賃</v>
      </c>
      <c r="Y16" s="207">
        <f>ROUNDDOWN($Q16*$Y$8/$Q$8,-1)</f>
        <v>960</v>
      </c>
      <c r="Z16" s="209" t="s">
        <v>9</v>
      </c>
      <c r="AA16" s="186"/>
      <c r="AB16" s="191"/>
      <c r="AC16" s="191" t="str">
        <f>HLOOKUP($AC$5,名前2!$C:$J,12,0)</f>
        <v>以下「軽自動車」という。）のうち、内燃機関を搭載し</v>
      </c>
    </row>
    <row r="17" spans="1:29" ht="16.5" customHeight="1" x14ac:dyDescent="0.2">
      <c r="A17" s="448"/>
      <c r="B17" s="228" t="s">
        <v>13</v>
      </c>
      <c r="C17" s="229">
        <f>C16-10</f>
        <v>630</v>
      </c>
      <c r="D17" s="230" t="s">
        <v>9</v>
      </c>
      <c r="E17" s="231">
        <f>ROUND(E$16/(C17/C$16),0)</f>
        <v>219</v>
      </c>
      <c r="F17" s="229" t="s">
        <v>10</v>
      </c>
      <c r="G17" s="229">
        <v>100</v>
      </c>
      <c r="H17" s="230" t="s">
        <v>9</v>
      </c>
      <c r="I17" s="201">
        <f>TRUNC(CEILING(ROUNDUP(E17*0.36,0),5)/60,0)</f>
        <v>1</v>
      </c>
      <c r="J17" s="202" t="s">
        <v>11</v>
      </c>
      <c r="K17" s="203">
        <f>TRUNC(CEILING(ROUNDUP(E17*0.36,0),5)-I17*60,0)</f>
        <v>20</v>
      </c>
      <c r="L17" s="236" t="s">
        <v>12</v>
      </c>
      <c r="M17" s="229">
        <v>100</v>
      </c>
      <c r="N17" s="232" t="s">
        <v>9</v>
      </c>
      <c r="O17" s="185"/>
      <c r="P17" s="228" t="s">
        <v>13</v>
      </c>
      <c r="Q17" s="233">
        <f>ROUNDUP((C17/C$16)*Q$16,-1)</f>
        <v>2860</v>
      </c>
      <c r="R17" s="232" t="s">
        <v>9</v>
      </c>
      <c r="S17" s="208"/>
      <c r="T17" s="186"/>
      <c r="U17" s="228" t="str">
        <f t="shared" ref="U17:U18" si="4">P17</f>
        <v>Ｂ運賃</v>
      </c>
      <c r="V17" s="234">
        <f t="shared" ref="V17:V18" si="5">ROUNDDOWN($Q17*$V$8/$Q$8,-1)</f>
        <v>1430</v>
      </c>
      <c r="W17" s="232" t="s">
        <v>9</v>
      </c>
      <c r="X17" s="228" t="str">
        <f t="shared" ref="X17:X18" si="6">P17</f>
        <v>Ｂ運賃</v>
      </c>
      <c r="Y17" s="234">
        <f t="shared" ref="Y17:Y18" si="7">ROUNDDOWN($Q17*$Y$8/$Q$8,-1)</f>
        <v>950</v>
      </c>
      <c r="Z17" s="232" t="s">
        <v>9</v>
      </c>
      <c r="AA17" s="186"/>
      <c r="AB17" s="191"/>
      <c r="AC17" s="191" t="str">
        <f>HLOOKUP($AC$5,名前2!$C:$J,13,0)</f>
        <v>ないもの又は福祉輸送サービスの用に供するものに限る。</v>
      </c>
    </row>
    <row r="18" spans="1:29" ht="16.5" customHeight="1" thickBot="1" x14ac:dyDescent="0.25">
      <c r="A18" s="448"/>
      <c r="B18" s="226" t="s">
        <v>7</v>
      </c>
      <c r="C18" s="211">
        <f>C17-10</f>
        <v>620</v>
      </c>
      <c r="D18" s="212" t="s">
        <v>9</v>
      </c>
      <c r="E18" s="213">
        <f>ROUND(E$16/(C18/C$16),0)</f>
        <v>223</v>
      </c>
      <c r="F18" s="211" t="s">
        <v>10</v>
      </c>
      <c r="G18" s="211">
        <v>100</v>
      </c>
      <c r="H18" s="212" t="s">
        <v>9</v>
      </c>
      <c r="I18" s="214">
        <f>TRUNC(CEILING(ROUNDUP(E18*0.36,0),5)/60,0)</f>
        <v>1</v>
      </c>
      <c r="J18" s="215" t="s">
        <v>11</v>
      </c>
      <c r="K18" s="216">
        <f>TRUNC(CEILING(ROUNDUP(E18*0.36,0),5)-I18*60,0)</f>
        <v>25</v>
      </c>
      <c r="L18" s="237" t="s">
        <v>12</v>
      </c>
      <c r="M18" s="211">
        <v>100</v>
      </c>
      <c r="N18" s="218" t="s">
        <v>9</v>
      </c>
      <c r="O18" s="185"/>
      <c r="P18" s="226" t="s">
        <v>7</v>
      </c>
      <c r="Q18" s="219">
        <f>ROUNDUP((C18/C$16)*Q$16,-1)</f>
        <v>2810</v>
      </c>
      <c r="R18" s="218" t="s">
        <v>9</v>
      </c>
      <c r="S18" s="208"/>
      <c r="T18" s="186"/>
      <c r="U18" s="226" t="str">
        <f t="shared" si="4"/>
        <v>下限運賃</v>
      </c>
      <c r="V18" s="235">
        <f t="shared" si="5"/>
        <v>1400</v>
      </c>
      <c r="W18" s="218" t="s">
        <v>9</v>
      </c>
      <c r="X18" s="226" t="str">
        <f t="shared" si="6"/>
        <v>下限運賃</v>
      </c>
      <c r="Y18" s="235">
        <f t="shared" si="7"/>
        <v>930</v>
      </c>
      <c r="Z18" s="218" t="s">
        <v>9</v>
      </c>
      <c r="AA18" s="186"/>
      <c r="AB18" s="191"/>
      <c r="AC18" s="191" t="str">
        <f>HLOOKUP($AC$5,名前2!$C:$J,14,0)</f>
        <v>ただし、「タクシー事業における軽自動車の活用について」</v>
      </c>
    </row>
    <row r="19" spans="1:29" ht="13.5" customHeight="1" x14ac:dyDescent="0.2">
      <c r="A19" s="243"/>
      <c r="B19" s="186"/>
      <c r="C19" s="186"/>
      <c r="D19" s="186"/>
      <c r="E19" s="186"/>
      <c r="F19" s="186"/>
      <c r="G19" s="186"/>
      <c r="H19" s="186"/>
      <c r="I19" s="186"/>
      <c r="J19" s="186"/>
      <c r="K19" s="186"/>
      <c r="L19" s="186"/>
      <c r="M19" s="186"/>
      <c r="N19" s="186"/>
      <c r="O19" s="208"/>
      <c r="P19" s="186"/>
      <c r="Q19" s="186"/>
      <c r="R19" s="186"/>
      <c r="S19" s="186"/>
      <c r="T19" s="186"/>
      <c r="U19" s="186"/>
      <c r="V19" s="186"/>
      <c r="W19" s="186"/>
      <c r="X19" s="186"/>
      <c r="Y19" s="186"/>
      <c r="Z19" s="186"/>
      <c r="AA19" s="186"/>
      <c r="AB19" s="191"/>
      <c r="AC19" s="191" t="str">
        <f>HLOOKUP($AC$5,名前2!$C:$J,15,0)</f>
        <v>（令和８年６月１日付け国自旅第３７号）別紙１．に基</v>
      </c>
    </row>
    <row r="20" spans="1:29" ht="16.5" customHeight="1" thickBot="1" x14ac:dyDescent="0.25">
      <c r="A20" s="243" t="s">
        <v>28</v>
      </c>
      <c r="B20" s="186"/>
      <c r="C20" s="186"/>
      <c r="D20" s="186"/>
      <c r="E20" s="186"/>
      <c r="F20" s="186"/>
      <c r="G20" s="186"/>
      <c r="H20" s="186"/>
      <c r="I20" s="186"/>
      <c r="J20" s="186"/>
      <c r="K20" s="186"/>
      <c r="L20" s="186"/>
      <c r="M20" s="186"/>
      <c r="N20" s="186"/>
      <c r="O20" s="208"/>
      <c r="P20" s="186"/>
      <c r="Q20" s="186"/>
      <c r="R20" s="186"/>
      <c r="S20" s="186"/>
      <c r="T20" s="186"/>
      <c r="U20" s="186"/>
      <c r="V20" s="186"/>
      <c r="W20" s="186"/>
      <c r="X20" s="186"/>
      <c r="Y20" s="186"/>
      <c r="Z20" s="186"/>
      <c r="AA20" s="186"/>
      <c r="AB20" s="191"/>
      <c r="AC20" s="191" t="str">
        <f>HLOOKUP($AC$5,名前2!$C:$J,16,0)</f>
        <v>づき近畿運輸局長が公示する地域においては、軽自動車と</v>
      </c>
    </row>
    <row r="21" spans="1:29" ht="16.5" customHeight="1" x14ac:dyDescent="0.2">
      <c r="A21" s="243"/>
      <c r="B21" s="550"/>
      <c r="C21" s="552" t="s">
        <v>3</v>
      </c>
      <c r="D21" s="552"/>
      <c r="E21" s="552"/>
      <c r="F21" s="552"/>
      <c r="G21" s="552"/>
      <c r="H21" s="553"/>
      <c r="I21" s="554" t="s">
        <v>4</v>
      </c>
      <c r="J21" s="555"/>
      <c r="K21" s="555"/>
      <c r="L21" s="555"/>
      <c r="M21" s="555"/>
      <c r="N21" s="556"/>
      <c r="O21" s="208"/>
      <c r="P21" s="550"/>
      <c r="Q21" s="566" t="s">
        <v>5</v>
      </c>
      <c r="R21" s="560"/>
      <c r="S21" s="192"/>
      <c r="T21" s="186"/>
      <c r="U21" s="550"/>
      <c r="V21" s="552" t="s">
        <v>5</v>
      </c>
      <c r="W21" s="560"/>
      <c r="X21" s="550"/>
      <c r="Y21" s="552" t="s">
        <v>5</v>
      </c>
      <c r="Z21" s="560"/>
      <c r="AA21" s="186"/>
      <c r="AB21" s="191"/>
      <c r="AC21" s="191" t="str">
        <f>HLOOKUP($AC$5,名前2!$C:$J,17,0)</f>
        <v>する。</v>
      </c>
    </row>
    <row r="22" spans="1:29" ht="30" customHeight="1" thickBot="1" x14ac:dyDescent="0.25">
      <c r="A22" s="447" t="str">
        <f>IF(COUNTIF(A23:A28,"○")=0,"無","")</f>
        <v>無</v>
      </c>
      <c r="B22" s="551"/>
      <c r="C22" s="567" t="s">
        <v>30</v>
      </c>
      <c r="D22" s="568"/>
      <c r="E22" s="544" t="s">
        <v>6</v>
      </c>
      <c r="F22" s="545"/>
      <c r="G22" s="545"/>
      <c r="H22" s="546"/>
      <c r="I22" s="557"/>
      <c r="J22" s="558"/>
      <c r="K22" s="558"/>
      <c r="L22" s="558"/>
      <c r="M22" s="558"/>
      <c r="N22" s="559"/>
      <c r="O22" s="193" t="str">
        <f>IF(COUNTIF(O23:O28,"○")=0,"無","")</f>
        <v>無</v>
      </c>
      <c r="P22" s="551"/>
      <c r="Q22" s="547">
        <v>30</v>
      </c>
      <c r="R22" s="548"/>
      <c r="S22" s="194"/>
      <c r="T22" s="186"/>
      <c r="U22" s="551"/>
      <c r="V22" s="547">
        <v>15</v>
      </c>
      <c r="W22" s="548"/>
      <c r="X22" s="551"/>
      <c r="Y22" s="547">
        <v>10</v>
      </c>
      <c r="Z22" s="548"/>
      <c r="AA22" s="186"/>
      <c r="AB22" s="191" t="str">
        <f>HLOOKUP($AB$5,名前2!$C:$J,18,0)</f>
        <v>備　　　考　</v>
      </c>
      <c r="AC22" s="191" t="str">
        <f>HLOOKUP($AC$5,名前2!$C:$J,18,0)</f>
        <v>１　自動車検査証に記載されている諸元を基準とする。</v>
      </c>
    </row>
    <row r="23" spans="1:29" ht="16.5" customHeight="1" thickTop="1" x14ac:dyDescent="0.2">
      <c r="A23" s="448"/>
      <c r="B23" s="195" t="s">
        <v>8</v>
      </c>
      <c r="C23" s="196">
        <v>600</v>
      </c>
      <c r="D23" s="197" t="s">
        <v>9</v>
      </c>
      <c r="E23" s="198">
        <v>243</v>
      </c>
      <c r="F23" s="199" t="s">
        <v>10</v>
      </c>
      <c r="G23" s="200">
        <v>100</v>
      </c>
      <c r="H23" s="197" t="s">
        <v>9</v>
      </c>
      <c r="I23" s="201">
        <f>TRUNC(CEILING(ROUNDUP(E23*0.36,0),5)/60,0)</f>
        <v>1</v>
      </c>
      <c r="J23" s="202" t="s">
        <v>11</v>
      </c>
      <c r="K23" s="203">
        <f>TRUNC(CEILING(ROUNDUP(E23*0.36,0),5)-I23*60,0)</f>
        <v>30</v>
      </c>
      <c r="L23" s="204" t="s">
        <v>12</v>
      </c>
      <c r="M23" s="205">
        <v>100</v>
      </c>
      <c r="N23" s="206" t="s">
        <v>9</v>
      </c>
      <c r="O23" s="185"/>
      <c r="P23" s="195" t="s">
        <v>8</v>
      </c>
      <c r="Q23" s="207">
        <v>2600</v>
      </c>
      <c r="R23" s="206" t="s">
        <v>9</v>
      </c>
      <c r="S23" s="208"/>
      <c r="T23" s="186"/>
      <c r="U23" s="195" t="str">
        <f>P23</f>
        <v>上限運賃</v>
      </c>
      <c r="V23" s="207">
        <f>ROUNDDOWN($Q23*$V$8/$Q$8,-1)</f>
        <v>1300</v>
      </c>
      <c r="W23" s="209" t="s">
        <v>9</v>
      </c>
      <c r="X23" s="195" t="str">
        <f>P23</f>
        <v>上限運賃</v>
      </c>
      <c r="Y23" s="207">
        <f>ROUNDDOWN($Q23*$Y$8/$Q$8,-1)</f>
        <v>860</v>
      </c>
      <c r="Z23" s="209" t="s">
        <v>9</v>
      </c>
      <c r="AA23" s="186"/>
      <c r="AB23" s="191"/>
      <c r="AC23" s="191" t="str">
        <f>HLOOKUP($AC$5,名前2!$C:$J,19,0)</f>
        <v>２　車体の形状が患者輸送車、車いす移動車又は身体障害</v>
      </c>
    </row>
    <row r="24" spans="1:29" ht="16.5" customHeight="1" x14ac:dyDescent="0.2">
      <c r="A24" s="448"/>
      <c r="B24" s="228" t="s">
        <v>13</v>
      </c>
      <c r="C24" s="229">
        <f>C23-10</f>
        <v>590</v>
      </c>
      <c r="D24" s="230" t="s">
        <v>9</v>
      </c>
      <c r="E24" s="231">
        <f>ROUND(E$23/(C24/C$23),0)</f>
        <v>247</v>
      </c>
      <c r="F24" s="229" t="s">
        <v>10</v>
      </c>
      <c r="G24" s="229">
        <v>100</v>
      </c>
      <c r="H24" s="230" t="s">
        <v>9</v>
      </c>
      <c r="I24" s="201">
        <f>TRUNC(CEILING(ROUNDUP(E24*0.36,0),5)/60,0)</f>
        <v>1</v>
      </c>
      <c r="J24" s="202" t="s">
        <v>11</v>
      </c>
      <c r="K24" s="203">
        <f>TRUNC(CEILING(ROUNDUP(E24*0.36,0),5)-I24*60,0)</f>
        <v>30</v>
      </c>
      <c r="L24" s="204" t="s">
        <v>12</v>
      </c>
      <c r="M24" s="229">
        <v>100</v>
      </c>
      <c r="N24" s="232" t="s">
        <v>9</v>
      </c>
      <c r="O24" s="185"/>
      <c r="P24" s="228" t="s">
        <v>13</v>
      </c>
      <c r="Q24" s="233">
        <f>ROUNDUP((C24/C$23)*Q$23,-1)</f>
        <v>2560</v>
      </c>
      <c r="R24" s="232" t="s">
        <v>9</v>
      </c>
      <c r="S24" s="208"/>
      <c r="T24" s="186"/>
      <c r="U24" s="228" t="str">
        <f t="shared" ref="U24:U25" si="8">P24</f>
        <v>Ｂ運賃</v>
      </c>
      <c r="V24" s="234">
        <f t="shared" ref="V24:V25" si="9">ROUNDDOWN($Q24*$V$8/$Q$8,-1)</f>
        <v>1280</v>
      </c>
      <c r="W24" s="232" t="s">
        <v>9</v>
      </c>
      <c r="X24" s="228" t="str">
        <f t="shared" ref="X24:X25" si="10">P24</f>
        <v>Ｂ運賃</v>
      </c>
      <c r="Y24" s="234">
        <f t="shared" ref="Y24:Y25" si="11">ROUNDDOWN($Q24*$Y$8/$Q$8,-1)</f>
        <v>850</v>
      </c>
      <c r="Z24" s="232" t="s">
        <v>9</v>
      </c>
      <c r="AA24" s="186"/>
      <c r="AB24" s="191" t="str">
        <f>IF(HLOOKUP($AB$5,名前2!$C:$J,20,0)=0,"",HLOOKUP($AB$5,名前2!C:J,20,0))</f>
        <v/>
      </c>
      <c r="AC24" s="191" t="str">
        <f>HLOOKUP($AC$5,名前2!$C:$J,20,0)</f>
        <v>者輸送車である特種自動車については、上記の車種区分に</v>
      </c>
    </row>
    <row r="25" spans="1:29" ht="16.5" customHeight="1" thickBot="1" x14ac:dyDescent="0.25">
      <c r="A25" s="448"/>
      <c r="B25" s="210" t="s">
        <v>7</v>
      </c>
      <c r="C25" s="211">
        <f>C24-10</f>
        <v>580</v>
      </c>
      <c r="D25" s="212" t="s">
        <v>9</v>
      </c>
      <c r="E25" s="213">
        <f>ROUND(E$23/(C25/C$23),0)</f>
        <v>251</v>
      </c>
      <c r="F25" s="211" t="s">
        <v>10</v>
      </c>
      <c r="G25" s="211">
        <v>100</v>
      </c>
      <c r="H25" s="212" t="s">
        <v>9</v>
      </c>
      <c r="I25" s="214">
        <f>TRUNC(CEILING(ROUNDUP(E25*0.36,0),5)/60,0)</f>
        <v>1</v>
      </c>
      <c r="J25" s="215" t="s">
        <v>11</v>
      </c>
      <c r="K25" s="216">
        <f>TRUNC(CEILING(ROUNDUP(E25*0.36,0),5)-I25*60,0)</f>
        <v>35</v>
      </c>
      <c r="L25" s="217" t="s">
        <v>12</v>
      </c>
      <c r="M25" s="211">
        <v>100</v>
      </c>
      <c r="N25" s="218" t="s">
        <v>9</v>
      </c>
      <c r="O25" s="185"/>
      <c r="P25" s="210" t="s">
        <v>7</v>
      </c>
      <c r="Q25" s="219">
        <f>ROUNDUP((C25/C$23)*Q$23,-1)</f>
        <v>2520</v>
      </c>
      <c r="R25" s="218" t="s">
        <v>9</v>
      </c>
      <c r="S25" s="208"/>
      <c r="T25" s="186"/>
      <c r="U25" s="226" t="str">
        <f t="shared" si="8"/>
        <v>下限運賃</v>
      </c>
      <c r="V25" s="235">
        <f t="shared" si="9"/>
        <v>1260</v>
      </c>
      <c r="W25" s="218" t="s">
        <v>9</v>
      </c>
      <c r="X25" s="226" t="str">
        <f t="shared" si="10"/>
        <v>下限運賃</v>
      </c>
      <c r="Y25" s="235">
        <f t="shared" si="11"/>
        <v>840</v>
      </c>
      <c r="Z25" s="218" t="s">
        <v>9</v>
      </c>
      <c r="AA25" s="186"/>
      <c r="AB25" s="191"/>
      <c r="AC25" s="191" t="str">
        <f>HLOOKUP($AC$5,名前2!$C:$J,21,0)</f>
        <v>よらず、以下の区分を適用する。</v>
      </c>
    </row>
    <row r="26" spans="1:29" ht="13.5" customHeight="1" x14ac:dyDescent="0.2">
      <c r="A26" s="243"/>
      <c r="B26" s="186"/>
      <c r="C26" s="186"/>
      <c r="D26" s="186"/>
      <c r="E26" s="186"/>
      <c r="F26" s="186"/>
      <c r="G26" s="186"/>
      <c r="H26" s="186"/>
      <c r="I26" s="186"/>
      <c r="J26" s="186"/>
      <c r="K26" s="186"/>
      <c r="L26" s="186"/>
      <c r="M26" s="186"/>
      <c r="N26" s="186"/>
      <c r="O26" s="208"/>
      <c r="P26" s="186"/>
      <c r="Q26" s="186"/>
      <c r="R26" s="186"/>
      <c r="S26" s="186"/>
      <c r="T26" s="186"/>
      <c r="U26" s="186"/>
      <c r="V26" s="186"/>
      <c r="W26" s="186"/>
      <c r="X26" s="186"/>
      <c r="Y26" s="186"/>
      <c r="Z26" s="186"/>
      <c r="AA26" s="186"/>
      <c r="AB26" s="191"/>
      <c r="AC26" s="191" t="str">
        <f>HLOOKUP($AC$5,名前2!$C:$J,22,0)</f>
        <v>一　次号に掲げる自動車以外の自動車</v>
      </c>
    </row>
    <row r="27" spans="1:29" x14ac:dyDescent="0.2">
      <c r="A27" s="243"/>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91"/>
      <c r="AC27" s="191" t="str">
        <f>HLOOKUP($AC$5,名前2!$C:$J,23,0)</f>
        <v>ア　乗車定員が７名以上のもの　大型車</v>
      </c>
    </row>
    <row r="28" spans="1:29" ht="13.5" customHeight="1" x14ac:dyDescent="0.2">
      <c r="A28" s="243"/>
      <c r="B28" s="188" t="s">
        <v>259</v>
      </c>
      <c r="C28" s="189" t="str">
        <f>HYPERLINK("#手引き!B46","手引きへ戻る")</f>
        <v>手引きへ戻る</v>
      </c>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91"/>
      <c r="AC28" s="191" t="str">
        <f>HLOOKUP($AC$5,名前2!$C:$J,24,0)</f>
        <v>イ　乗車定員が６名以下のもの　普通車</v>
      </c>
    </row>
    <row r="29" spans="1:29" x14ac:dyDescent="0.2">
      <c r="A29" s="243"/>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91"/>
      <c r="AC29" s="191" t="str">
        <f>HLOOKUP($AC$5,名前2!$C:$J,25,0)</f>
        <v>二　専ら旅客を寝台に乗せて運行することを目的とする</v>
      </c>
    </row>
    <row r="30" spans="1:29" x14ac:dyDescent="0.2">
      <c r="A30" s="243"/>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91"/>
      <c r="AC30" s="191" t="str">
        <f>HLOOKUP($AC$5,名前2!$C:$J,26,0)</f>
        <v>自動車</v>
      </c>
    </row>
    <row r="31" spans="1:29" x14ac:dyDescent="0.2">
      <c r="A31" s="243"/>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91"/>
      <c r="AC31" s="191" t="str">
        <f>HLOOKUP($AC$5,名前2!$C:$J,27,0)</f>
        <v>ア　普通自動車　普通自動車</v>
      </c>
    </row>
    <row r="32" spans="1:29" x14ac:dyDescent="0.2">
      <c r="A32" s="243"/>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91"/>
      <c r="AC32" s="191" t="str">
        <f>HLOOKUP($AC$5,名前2!$C:$J,28,0)</f>
        <v>イ　小型自動車　小型自動車</v>
      </c>
    </row>
    <row r="33" spans="1:29" x14ac:dyDescent="0.2">
      <c r="A33" s="243"/>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91"/>
      <c r="AC33" s="191" t="str">
        <f>HLOOKUP($AC$5,名前2!$C:$J,29,0)</f>
        <v>３　上記の車種区分において、ハイブリッド自動車とは、</v>
      </c>
    </row>
    <row r="34" spans="1:29" x14ac:dyDescent="0.2">
      <c r="A34" s="243"/>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91"/>
      <c r="AC34" s="191" t="str">
        <f>HLOOKUP($AC$5,名前2!$C:$J,30,0)</f>
        <v>内燃機関を搭載し、併せて電気又は蓄圧器に蓄えられた</v>
      </c>
    </row>
    <row r="35" spans="1:29" ht="13.5" customHeight="1" x14ac:dyDescent="0.2">
      <c r="A35" s="243"/>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91"/>
      <c r="AC35" s="191" t="str">
        <f>IF(HLOOKUP($AC$5,名前2!$C:$J,31,0)=0,"",HLOOKUP($AC$5,名前2!$C:$J,31,0))</f>
        <v>圧力を動力源として用いる自動車をいう。</v>
      </c>
    </row>
    <row r="36" spans="1:29" ht="13.5" customHeight="1" x14ac:dyDescent="0.2">
      <c r="A36" s="243"/>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91"/>
      <c r="AC36" s="191" t="str">
        <f>IF(HLOOKUP($AC$5,名前2!$C:$J,32,0)=0,"",HLOOKUP($AC$5,名前2!$C:$J,32,0))</f>
        <v/>
      </c>
    </row>
    <row r="37" spans="1:29" x14ac:dyDescent="0.2">
      <c r="A37" s="243"/>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91"/>
      <c r="AC37" s="191" t="str">
        <f>IF(HLOOKUP($AC$5,名前2!$C:$J,33,0)=0,"",HLOOKUP($AC$5,名前2!$C:$J,33,0))</f>
        <v/>
      </c>
    </row>
    <row r="38" spans="1:29" x14ac:dyDescent="0.2">
      <c r="A38" s="243"/>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91"/>
      <c r="AC38" s="191" t="str">
        <f>IF(HLOOKUP($AC$5,名前2!$C:$J,34,0)=0,"",HLOOKUP($AC$5,名前2!$C:$J,34,0))</f>
        <v/>
      </c>
    </row>
    <row r="39" spans="1:29" x14ac:dyDescent="0.2">
      <c r="A39" s="243"/>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91"/>
      <c r="AC39" s="191" t="str">
        <f>IF(HLOOKUP($AC$5,名前2!$C:$J,35,0)=0,"",HLOOKUP($AC$5,名前2!$C:$J,35,0))</f>
        <v/>
      </c>
    </row>
    <row r="40" spans="1:29"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91"/>
      <c r="AC41" s="191" t="str">
        <f>IF(HLOOKUP($AC$5,名前2!$C:$J,37,0)=0,"",HLOOKUP($AC$5,名前2!$C:$J,37,0))</f>
        <v/>
      </c>
    </row>
    <row r="42" spans="1:29"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91"/>
      <c r="AC42" s="191" t="str">
        <f>IF(HLOOKUP($AC$5,名前2!$C:$J,38,0)=0,"",HLOOKUP($AC$5,名前2!$C:$J,38,0))</f>
        <v/>
      </c>
    </row>
    <row r="43" spans="1:29"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91"/>
      <c r="AC43" s="191" t="str">
        <f>IF(HLOOKUP($AC$5,名前2!$C:$J,39,0)=0,"",HLOOKUP($AC$5,名前2!$C:$J,39,0))</f>
        <v/>
      </c>
    </row>
    <row r="44" spans="1:29"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91"/>
      <c r="AC44" s="191" t="str">
        <f>IF(HLOOKUP($AC$5,名前2!$C:$J,40,0)=0,"",HLOOKUP($AC$5,名前2!$C:$J,40,0))</f>
        <v/>
      </c>
    </row>
  </sheetData>
  <sheetProtection algorithmName="SHA-512" hashValue="hGsIUIAZDXGwbMD53/zG1h8PkPwLUbbLy7w6E94SWVJAYv3WYvdsOKzMVBARw/rqWvBuP6qfT41FgDAPGgN+VQ==" saltValue="evyyUtUYFSLAJLNpOTTa1A==" spinCount="100000" sheet="1" objects="1" scenarios="1"/>
  <mergeCells count="45">
    <mergeCell ref="U21:U22"/>
    <mergeCell ref="V21:W21"/>
    <mergeCell ref="X21:X22"/>
    <mergeCell ref="Y21:Z21"/>
    <mergeCell ref="V22:W22"/>
    <mergeCell ref="Y22:Z22"/>
    <mergeCell ref="U14:U15"/>
    <mergeCell ref="V14:W14"/>
    <mergeCell ref="X14:X15"/>
    <mergeCell ref="Y14:Z14"/>
    <mergeCell ref="V15:W15"/>
    <mergeCell ref="Y15:Z15"/>
    <mergeCell ref="U7:U8"/>
    <mergeCell ref="V7:W7"/>
    <mergeCell ref="X7:X8"/>
    <mergeCell ref="Y7:Z7"/>
    <mergeCell ref="V8:W8"/>
    <mergeCell ref="Y8:Z8"/>
    <mergeCell ref="B21:B22"/>
    <mergeCell ref="C21:H21"/>
    <mergeCell ref="I21:N22"/>
    <mergeCell ref="P21:P22"/>
    <mergeCell ref="Q21:R21"/>
    <mergeCell ref="C22:D22"/>
    <mergeCell ref="E22:H22"/>
    <mergeCell ref="Q22:R22"/>
    <mergeCell ref="B14:B15"/>
    <mergeCell ref="C14:H14"/>
    <mergeCell ref="I14:N15"/>
    <mergeCell ref="P14:P15"/>
    <mergeCell ref="Q14:R14"/>
    <mergeCell ref="C15:D15"/>
    <mergeCell ref="E15:H15"/>
    <mergeCell ref="Q15:R15"/>
    <mergeCell ref="B2:R2"/>
    <mergeCell ref="B7:B8"/>
    <mergeCell ref="C7:H7"/>
    <mergeCell ref="I7:N8"/>
    <mergeCell ref="P7:P8"/>
    <mergeCell ref="Q7:R7"/>
    <mergeCell ref="C8:D8"/>
    <mergeCell ref="E8:H8"/>
    <mergeCell ref="Q8:R8"/>
    <mergeCell ref="C3:S3"/>
    <mergeCell ref="C4:S4"/>
  </mergeCells>
  <phoneticPr fontId="1"/>
  <conditionalFormatting sqref="A9:A11">
    <cfRule type="expression" dxfId="35" priority="7">
      <formula>COUNTIF(A$9:A$11,"○")=1</formula>
    </cfRule>
  </conditionalFormatting>
  <conditionalFormatting sqref="A16:A18">
    <cfRule type="expression" dxfId="34" priority="4">
      <formula>COUNTIF(A$16:A$18,"○")=1</formula>
    </cfRule>
  </conditionalFormatting>
  <conditionalFormatting sqref="A23:A25">
    <cfRule type="expression" dxfId="33" priority="2">
      <formula>COUNTIF(A$23:A$25,"○")=1</formula>
    </cfRule>
  </conditionalFormatting>
  <conditionalFormatting sqref="O9:O11">
    <cfRule type="expression" dxfId="32" priority="5">
      <formula>COUNTIF(O$9:O$11,"○")=1</formula>
    </cfRule>
  </conditionalFormatting>
  <conditionalFormatting sqref="O16:O18">
    <cfRule type="expression" dxfId="31" priority="3">
      <formula>COUNTIF(O$16:O$18,"○")=1</formula>
    </cfRule>
  </conditionalFormatting>
  <conditionalFormatting sqref="O23:O25">
    <cfRule type="expression" dxfId="30" priority="1">
      <formula>COUNTIF(O$23:O$25,"○")=1</formula>
    </cfRule>
  </conditionalFormatting>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名前2!$B$1:$B$2</xm:f>
          </x14:formula1>
          <xm:sqref>O9:O11 O16:O18 A16:A18 A23:A25 A9:A11 O23:O25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C46"/>
  <sheetViews>
    <sheetView view="pageBreakPreview" topLeftCell="A8" zoomScaleNormal="100" zoomScaleSheetLayoutView="100" workbookViewId="0">
      <selection activeCell="AB21" sqref="AB21"/>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33203125" style="1" bestFit="1" customWidth="1"/>
    <col min="19" max="19" width="5.6640625" style="1" customWidth="1"/>
    <col min="20" max="20" width="9" style="1" customWidth="1"/>
    <col min="21"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37" width="8.88671875" style="1"/>
    <col min="38"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33203125" style="1" bestFit="1" customWidth="1"/>
    <col min="275" max="275" width="5.6640625" style="1" customWidth="1"/>
    <col min="276" max="276" width="9" style="1" customWidth="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33203125" style="1" bestFit="1" customWidth="1"/>
    <col min="531" max="531" width="5.6640625" style="1" customWidth="1"/>
    <col min="532" max="532" width="9" style="1" customWidth="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33203125" style="1" bestFit="1" customWidth="1"/>
    <col min="787" max="787" width="5.6640625" style="1" customWidth="1"/>
    <col min="788" max="788" width="9" style="1" customWidth="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33203125" style="1" bestFit="1" customWidth="1"/>
    <col min="1043" max="1043" width="5.6640625" style="1" customWidth="1"/>
    <col min="1044" max="1044" width="9" style="1" customWidth="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33203125" style="1" bestFit="1" customWidth="1"/>
    <col min="1299" max="1299" width="5.6640625" style="1" customWidth="1"/>
    <col min="1300" max="1300" width="9" style="1" customWidth="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33203125" style="1" bestFit="1" customWidth="1"/>
    <col min="1555" max="1555" width="5.6640625" style="1" customWidth="1"/>
    <col min="1556" max="1556" width="9" style="1" customWidth="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33203125" style="1" bestFit="1" customWidth="1"/>
    <col min="1811" max="1811" width="5.6640625" style="1" customWidth="1"/>
    <col min="1812" max="1812" width="9" style="1" customWidth="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33203125" style="1" bestFit="1" customWidth="1"/>
    <col min="2067" max="2067" width="5.6640625" style="1" customWidth="1"/>
    <col min="2068" max="2068" width="9" style="1" customWidth="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33203125" style="1" bestFit="1" customWidth="1"/>
    <col min="2323" max="2323" width="5.6640625" style="1" customWidth="1"/>
    <col min="2324" max="2324" width="9" style="1" customWidth="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33203125" style="1" bestFit="1" customWidth="1"/>
    <col min="2579" max="2579" width="5.6640625" style="1" customWidth="1"/>
    <col min="2580" max="2580" width="9" style="1" customWidth="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33203125" style="1" bestFit="1" customWidth="1"/>
    <col min="2835" max="2835" width="5.6640625" style="1" customWidth="1"/>
    <col min="2836" max="2836" width="9" style="1" customWidth="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33203125" style="1" bestFit="1" customWidth="1"/>
    <col min="3091" max="3091" width="5.6640625" style="1" customWidth="1"/>
    <col min="3092" max="3092" width="9" style="1" customWidth="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33203125" style="1" bestFit="1" customWidth="1"/>
    <col min="3347" max="3347" width="5.6640625" style="1" customWidth="1"/>
    <col min="3348" max="3348" width="9" style="1" customWidth="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33203125" style="1" bestFit="1" customWidth="1"/>
    <col min="3603" max="3603" width="5.6640625" style="1" customWidth="1"/>
    <col min="3604" max="3604" width="9" style="1" customWidth="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33203125" style="1" bestFit="1" customWidth="1"/>
    <col min="3859" max="3859" width="5.6640625" style="1" customWidth="1"/>
    <col min="3860" max="3860" width="9" style="1" customWidth="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33203125" style="1" bestFit="1" customWidth="1"/>
    <col min="4115" max="4115" width="5.6640625" style="1" customWidth="1"/>
    <col min="4116" max="4116" width="9" style="1" customWidth="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33203125" style="1" bestFit="1" customWidth="1"/>
    <col min="4371" max="4371" width="5.6640625" style="1" customWidth="1"/>
    <col min="4372" max="4372" width="9" style="1" customWidth="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33203125" style="1" bestFit="1" customWidth="1"/>
    <col min="4627" max="4627" width="5.6640625" style="1" customWidth="1"/>
    <col min="4628" max="4628" width="9" style="1" customWidth="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33203125" style="1" bestFit="1" customWidth="1"/>
    <col min="4883" max="4883" width="5.6640625" style="1" customWidth="1"/>
    <col min="4884" max="4884" width="9" style="1" customWidth="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33203125" style="1" bestFit="1" customWidth="1"/>
    <col min="5139" max="5139" width="5.6640625" style="1" customWidth="1"/>
    <col min="5140" max="5140" width="9" style="1" customWidth="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33203125" style="1" bestFit="1" customWidth="1"/>
    <col min="5395" max="5395" width="5.6640625" style="1" customWidth="1"/>
    <col min="5396" max="5396" width="9" style="1" customWidth="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33203125" style="1" bestFit="1" customWidth="1"/>
    <col min="5651" max="5651" width="5.6640625" style="1" customWidth="1"/>
    <col min="5652" max="5652" width="9" style="1" customWidth="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33203125" style="1" bestFit="1" customWidth="1"/>
    <col min="5907" max="5907" width="5.6640625" style="1" customWidth="1"/>
    <col min="5908" max="5908" width="9" style="1" customWidth="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33203125" style="1" bestFit="1" customWidth="1"/>
    <col min="6163" max="6163" width="5.6640625" style="1" customWidth="1"/>
    <col min="6164" max="6164" width="9" style="1" customWidth="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33203125" style="1" bestFit="1" customWidth="1"/>
    <col min="6419" max="6419" width="5.6640625" style="1" customWidth="1"/>
    <col min="6420" max="6420" width="9" style="1" customWidth="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33203125" style="1" bestFit="1" customWidth="1"/>
    <col min="6675" max="6675" width="5.6640625" style="1" customWidth="1"/>
    <col min="6676" max="6676" width="9" style="1" customWidth="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33203125" style="1" bestFit="1" customWidth="1"/>
    <col min="6931" max="6931" width="5.6640625" style="1" customWidth="1"/>
    <col min="6932" max="6932" width="9" style="1" customWidth="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33203125" style="1" bestFit="1" customWidth="1"/>
    <col min="7187" max="7187" width="5.6640625" style="1" customWidth="1"/>
    <col min="7188" max="7188" width="9" style="1" customWidth="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33203125" style="1" bestFit="1" customWidth="1"/>
    <col min="7443" max="7443" width="5.6640625" style="1" customWidth="1"/>
    <col min="7444" max="7444" width="9" style="1" customWidth="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33203125" style="1" bestFit="1" customWidth="1"/>
    <col min="7699" max="7699" width="5.6640625" style="1" customWidth="1"/>
    <col min="7700" max="7700" width="9" style="1" customWidth="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33203125" style="1" bestFit="1" customWidth="1"/>
    <col min="7955" max="7955" width="5.6640625" style="1" customWidth="1"/>
    <col min="7956" max="7956" width="9" style="1" customWidth="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33203125" style="1" bestFit="1" customWidth="1"/>
    <col min="8211" max="8211" width="5.6640625" style="1" customWidth="1"/>
    <col min="8212" max="8212" width="9" style="1" customWidth="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33203125" style="1" bestFit="1" customWidth="1"/>
    <col min="8467" max="8467" width="5.6640625" style="1" customWidth="1"/>
    <col min="8468" max="8468" width="9" style="1" customWidth="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33203125" style="1" bestFit="1" customWidth="1"/>
    <col min="8723" max="8723" width="5.6640625" style="1" customWidth="1"/>
    <col min="8724" max="8724" width="9" style="1" customWidth="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33203125" style="1" bestFit="1" customWidth="1"/>
    <col min="8979" max="8979" width="5.6640625" style="1" customWidth="1"/>
    <col min="8980" max="8980" width="9" style="1" customWidth="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33203125" style="1" bestFit="1" customWidth="1"/>
    <col min="9235" max="9235" width="5.6640625" style="1" customWidth="1"/>
    <col min="9236" max="9236" width="9" style="1" customWidth="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33203125" style="1" bestFit="1" customWidth="1"/>
    <col min="9491" max="9491" width="5.6640625" style="1" customWidth="1"/>
    <col min="9492" max="9492" width="9" style="1" customWidth="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33203125" style="1" bestFit="1" customWidth="1"/>
    <col min="9747" max="9747" width="5.6640625" style="1" customWidth="1"/>
    <col min="9748" max="9748" width="9" style="1" customWidth="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33203125" style="1" bestFit="1" customWidth="1"/>
    <col min="10003" max="10003" width="5.6640625" style="1" customWidth="1"/>
    <col min="10004" max="10004" width="9" style="1" customWidth="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33203125" style="1" bestFit="1" customWidth="1"/>
    <col min="10259" max="10259" width="5.6640625" style="1" customWidth="1"/>
    <col min="10260" max="10260" width="9" style="1" customWidth="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33203125" style="1" bestFit="1" customWidth="1"/>
    <col min="10515" max="10515" width="5.6640625" style="1" customWidth="1"/>
    <col min="10516" max="10516" width="9" style="1" customWidth="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33203125" style="1" bestFit="1" customWidth="1"/>
    <col min="10771" max="10771" width="5.6640625" style="1" customWidth="1"/>
    <col min="10772" max="10772" width="9" style="1" customWidth="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33203125" style="1" bestFit="1" customWidth="1"/>
    <col min="11027" max="11027" width="5.6640625" style="1" customWidth="1"/>
    <col min="11028" max="11028" width="9" style="1" customWidth="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33203125" style="1" bestFit="1" customWidth="1"/>
    <col min="11283" max="11283" width="5.6640625" style="1" customWidth="1"/>
    <col min="11284" max="11284" width="9" style="1" customWidth="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33203125" style="1" bestFit="1" customWidth="1"/>
    <col min="11539" max="11539" width="5.6640625" style="1" customWidth="1"/>
    <col min="11540" max="11540" width="9" style="1" customWidth="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33203125" style="1" bestFit="1" customWidth="1"/>
    <col min="11795" max="11795" width="5.6640625" style="1" customWidth="1"/>
    <col min="11796" max="11796" width="9" style="1" customWidth="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33203125" style="1" bestFit="1" customWidth="1"/>
    <col min="12051" max="12051" width="5.6640625" style="1" customWidth="1"/>
    <col min="12052" max="12052" width="9" style="1" customWidth="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33203125" style="1" bestFit="1" customWidth="1"/>
    <col min="12307" max="12307" width="5.6640625" style="1" customWidth="1"/>
    <col min="12308" max="12308" width="9" style="1" customWidth="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33203125" style="1" bestFit="1" customWidth="1"/>
    <col min="12563" max="12563" width="5.6640625" style="1" customWidth="1"/>
    <col min="12564" max="12564" width="9" style="1" customWidth="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33203125" style="1" bestFit="1" customWidth="1"/>
    <col min="12819" max="12819" width="5.6640625" style="1" customWidth="1"/>
    <col min="12820" max="12820" width="9" style="1" customWidth="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33203125" style="1" bestFit="1" customWidth="1"/>
    <col min="13075" max="13075" width="5.6640625" style="1" customWidth="1"/>
    <col min="13076" max="13076" width="9" style="1" customWidth="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33203125" style="1" bestFit="1" customWidth="1"/>
    <col min="13331" max="13331" width="5.6640625" style="1" customWidth="1"/>
    <col min="13332" max="13332" width="9" style="1" customWidth="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33203125" style="1" bestFit="1" customWidth="1"/>
    <col min="13587" max="13587" width="5.6640625" style="1" customWidth="1"/>
    <col min="13588" max="13588" width="9" style="1" customWidth="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33203125" style="1" bestFit="1" customWidth="1"/>
    <col min="13843" max="13843" width="5.6640625" style="1" customWidth="1"/>
    <col min="13844" max="13844" width="9" style="1" customWidth="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33203125" style="1" bestFit="1" customWidth="1"/>
    <col min="14099" max="14099" width="5.6640625" style="1" customWidth="1"/>
    <col min="14100" max="14100" width="9" style="1" customWidth="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33203125" style="1" bestFit="1" customWidth="1"/>
    <col min="14355" max="14355" width="5.6640625" style="1" customWidth="1"/>
    <col min="14356" max="14356" width="9" style="1" customWidth="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33203125" style="1" bestFit="1" customWidth="1"/>
    <col min="14611" max="14611" width="5.6640625" style="1" customWidth="1"/>
    <col min="14612" max="14612" width="9" style="1" customWidth="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33203125" style="1" bestFit="1" customWidth="1"/>
    <col min="14867" max="14867" width="5.6640625" style="1" customWidth="1"/>
    <col min="14868" max="14868" width="9" style="1" customWidth="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33203125" style="1" bestFit="1" customWidth="1"/>
    <col min="15123" max="15123" width="5.6640625" style="1" customWidth="1"/>
    <col min="15124" max="15124" width="9" style="1" customWidth="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33203125" style="1" bestFit="1" customWidth="1"/>
    <col min="15379" max="15379" width="5.6640625" style="1" customWidth="1"/>
    <col min="15380" max="15380" width="9" style="1" customWidth="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33203125" style="1" bestFit="1" customWidth="1"/>
    <col min="15635" max="15635" width="5.6640625" style="1" customWidth="1"/>
    <col min="15636" max="15636" width="9" style="1" customWidth="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33203125" style="1" bestFit="1" customWidth="1"/>
    <col min="15891" max="15891" width="5.6640625" style="1" customWidth="1"/>
    <col min="15892" max="15892" width="9" style="1" customWidth="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33203125" style="1" bestFit="1" customWidth="1"/>
    <col min="16147" max="16147" width="5.6640625" style="1" customWidth="1"/>
    <col min="16148" max="16148" width="9" style="1" customWidth="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569"/>
      <c r="N1" s="570"/>
      <c r="O1" s="570"/>
      <c r="P1" s="570"/>
      <c r="Q1" s="570"/>
      <c r="R1" s="570"/>
      <c r="S1" s="186"/>
      <c r="T1" s="238"/>
      <c r="U1" s="186"/>
      <c r="V1" s="186"/>
      <c r="W1" s="186"/>
      <c r="X1" s="186"/>
      <c r="Y1" s="186"/>
      <c r="Z1" s="186"/>
      <c r="AA1" s="186"/>
    </row>
    <row r="2" spans="1:29" ht="13.5" customHeight="1" x14ac:dyDescent="0.2">
      <c r="A2" s="446"/>
      <c r="B2" s="549" t="s">
        <v>477</v>
      </c>
      <c r="C2" s="549"/>
      <c r="D2" s="549"/>
      <c r="E2" s="549"/>
      <c r="F2" s="549"/>
      <c r="G2" s="549"/>
      <c r="H2" s="549"/>
      <c r="I2" s="549"/>
      <c r="J2" s="549"/>
      <c r="K2" s="549"/>
      <c r="L2" s="549"/>
      <c r="M2" s="549"/>
      <c r="N2" s="549"/>
      <c r="O2" s="549"/>
      <c r="P2" s="549"/>
      <c r="Q2" s="549"/>
      <c r="R2" s="549"/>
      <c r="S2" s="187"/>
      <c r="T2" s="187"/>
      <c r="U2" s="186"/>
      <c r="V2" s="186"/>
      <c r="W2" s="186"/>
      <c r="X2" s="186"/>
      <c r="Y2" s="186"/>
      <c r="Z2" s="186"/>
      <c r="AA2" s="186"/>
    </row>
    <row r="3" spans="1:29" ht="13.5" customHeight="1" x14ac:dyDescent="0.2">
      <c r="A3" s="446"/>
      <c r="B3" s="187"/>
      <c r="C3" s="561" t="s">
        <v>324</v>
      </c>
      <c r="D3" s="561"/>
      <c r="E3" s="561"/>
      <c r="F3" s="561"/>
      <c r="G3" s="561"/>
      <c r="H3" s="561"/>
      <c r="I3" s="561"/>
      <c r="J3" s="561"/>
      <c r="K3" s="561"/>
      <c r="L3" s="561"/>
      <c r="M3" s="561"/>
      <c r="N3" s="561"/>
      <c r="O3" s="561"/>
      <c r="P3" s="561"/>
      <c r="Q3" s="561"/>
      <c r="R3" s="561"/>
      <c r="S3" s="561"/>
      <c r="T3" s="187"/>
      <c r="U3" s="186"/>
      <c r="V3" s="186"/>
      <c r="W3" s="186"/>
      <c r="X3" s="186"/>
      <c r="Y3" s="186"/>
      <c r="Z3" s="186"/>
      <c r="AA3" s="186"/>
    </row>
    <row r="4" spans="1:29" ht="13.5" customHeight="1" x14ac:dyDescent="0.2">
      <c r="A4" s="243" t="s">
        <v>1</v>
      </c>
      <c r="B4" s="186"/>
      <c r="C4" s="522" t="s">
        <v>478</v>
      </c>
      <c r="D4" s="522"/>
      <c r="E4" s="522"/>
      <c r="F4" s="522"/>
      <c r="G4" s="522"/>
      <c r="H4" s="522"/>
      <c r="I4" s="522"/>
      <c r="J4" s="522"/>
      <c r="K4" s="522"/>
      <c r="L4" s="522"/>
      <c r="M4" s="522"/>
      <c r="N4" s="522"/>
      <c r="O4" s="522"/>
      <c r="P4" s="522"/>
      <c r="Q4" s="522"/>
      <c r="R4" s="522"/>
      <c r="S4" s="522"/>
      <c r="T4" s="186"/>
      <c r="U4" s="186"/>
      <c r="V4" s="186"/>
      <c r="W4" s="186"/>
      <c r="X4" s="186"/>
      <c r="Y4" s="186"/>
      <c r="Z4" s="186"/>
      <c r="AA4" s="186"/>
      <c r="AB4" s="1" t="s">
        <v>319</v>
      </c>
    </row>
    <row r="5" spans="1:29" ht="13.5" customHeight="1" x14ac:dyDescent="0.2">
      <c r="A5" s="243"/>
      <c r="B5" s="186"/>
      <c r="C5" s="186"/>
      <c r="D5" s="188" t="s">
        <v>259</v>
      </c>
      <c r="E5" s="186"/>
      <c r="F5" s="186"/>
      <c r="G5" s="186"/>
      <c r="H5" s="189" t="str">
        <f>HYPERLINK("#手引き!B46","手引きへ戻る")</f>
        <v>手引きへ戻る</v>
      </c>
      <c r="I5" s="186"/>
      <c r="J5" s="186"/>
      <c r="K5" s="186"/>
      <c r="L5" s="186"/>
      <c r="M5" s="186"/>
      <c r="N5" s="186"/>
      <c r="O5" s="186"/>
      <c r="P5" s="186"/>
      <c r="Q5" s="186"/>
      <c r="R5" s="186"/>
      <c r="S5" s="186"/>
      <c r="T5" s="186"/>
      <c r="U5" s="186" t="s">
        <v>317</v>
      </c>
      <c r="V5" s="186"/>
      <c r="W5" s="239"/>
      <c r="X5" s="186"/>
      <c r="Y5" s="186"/>
      <c r="Z5" s="186"/>
      <c r="AA5" s="186"/>
      <c r="AB5" s="1" t="s">
        <v>321</v>
      </c>
      <c r="AC5" s="1" t="s">
        <v>320</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90"/>
      <c r="U6" s="227"/>
      <c r="V6" s="186"/>
      <c r="W6" s="186"/>
      <c r="X6" s="186"/>
      <c r="Y6" s="186"/>
      <c r="Z6" s="186"/>
      <c r="AA6" s="186"/>
      <c r="AB6" s="91" t="str">
        <f>HLOOKUP($AB$5,名前2!$C:$J,2,0)</f>
        <v>特定大型車</v>
      </c>
      <c r="AC6" s="91" t="str">
        <f>HLOOKUP($AC$5,名前2!$C:$J,2,0)</f>
        <v>道路運送車両法施行規則第２条に定める普通自動車（以下</v>
      </c>
    </row>
    <row r="7" spans="1:29" ht="16.5" customHeight="1" x14ac:dyDescent="0.2">
      <c r="A7" s="243"/>
      <c r="B7" s="550"/>
      <c r="C7" s="562" t="s">
        <v>3</v>
      </c>
      <c r="D7" s="563"/>
      <c r="E7" s="563"/>
      <c r="F7" s="563"/>
      <c r="G7" s="563"/>
      <c r="H7" s="564"/>
      <c r="I7" s="554" t="s">
        <v>4</v>
      </c>
      <c r="J7" s="555"/>
      <c r="K7" s="555"/>
      <c r="L7" s="555"/>
      <c r="M7" s="555"/>
      <c r="N7" s="556"/>
      <c r="O7" s="186"/>
      <c r="P7" s="550"/>
      <c r="Q7" s="562" t="s">
        <v>5</v>
      </c>
      <c r="R7" s="565"/>
      <c r="S7" s="192"/>
      <c r="T7" s="192"/>
      <c r="U7" s="550"/>
      <c r="V7" s="552" t="s">
        <v>5</v>
      </c>
      <c r="W7" s="560"/>
      <c r="X7" s="550"/>
      <c r="Y7" s="552" t="s">
        <v>5</v>
      </c>
      <c r="Z7" s="560"/>
      <c r="AA7" s="186"/>
      <c r="AB7" s="91"/>
      <c r="AC7" s="91" t="str">
        <f>HLOOKUP($AC$5,名前2!$C:$J,3,0)</f>
        <v>「普通自動車」という。）又は小型自動車（以下「小型</v>
      </c>
    </row>
    <row r="8" spans="1:29" ht="30" customHeight="1" thickBot="1" x14ac:dyDescent="0.25">
      <c r="A8" s="447" t="str">
        <f>IF(COUNTIF(A9:A15,"○")=0,"無","")</f>
        <v>無</v>
      </c>
      <c r="B8" s="551"/>
      <c r="C8" s="567" t="s">
        <v>30</v>
      </c>
      <c r="D8" s="568"/>
      <c r="E8" s="544" t="s">
        <v>6</v>
      </c>
      <c r="F8" s="545"/>
      <c r="G8" s="545"/>
      <c r="H8" s="546"/>
      <c r="I8" s="557"/>
      <c r="J8" s="558"/>
      <c r="K8" s="558"/>
      <c r="L8" s="558"/>
      <c r="M8" s="558"/>
      <c r="N8" s="559"/>
      <c r="O8" s="193" t="str">
        <f>IF(COUNTIF(O9:O15,"○")=0,"無","")</f>
        <v>無</v>
      </c>
      <c r="P8" s="551"/>
      <c r="Q8" s="547">
        <v>30</v>
      </c>
      <c r="R8" s="548"/>
      <c r="S8" s="194"/>
      <c r="T8" s="194"/>
      <c r="U8" s="551"/>
      <c r="V8" s="547">
        <v>15</v>
      </c>
      <c r="W8" s="548"/>
      <c r="X8" s="551"/>
      <c r="Y8" s="547">
        <v>10</v>
      </c>
      <c r="Z8" s="548"/>
      <c r="AA8" s="186"/>
      <c r="AB8" s="91"/>
      <c r="AC8" s="91" t="str">
        <f>HLOOKUP($AC$5,名前2!$C:$J,4,0)</f>
        <v>自動車」という。）のうち乗車定員が９名以上のもの。</v>
      </c>
    </row>
    <row r="9" spans="1:29" ht="16.5" customHeight="1" thickTop="1" x14ac:dyDescent="0.2">
      <c r="A9" s="448"/>
      <c r="B9" s="195" t="s">
        <v>8</v>
      </c>
      <c r="C9" s="196">
        <v>750</v>
      </c>
      <c r="D9" s="197" t="s">
        <v>9</v>
      </c>
      <c r="E9" s="198">
        <v>172</v>
      </c>
      <c r="F9" s="199" t="s">
        <v>10</v>
      </c>
      <c r="G9" s="200">
        <v>100</v>
      </c>
      <c r="H9" s="197" t="s">
        <v>9</v>
      </c>
      <c r="I9" s="201">
        <f t="shared" ref="I9:I15" si="0">TRUNC(CEILING(ROUNDUP(E9*0.36,0),5)/60,0)</f>
        <v>1</v>
      </c>
      <c r="J9" s="202" t="s">
        <v>11</v>
      </c>
      <c r="K9" s="203">
        <f t="shared" ref="K9:K15" si="1">TRUNC(CEILING(ROUNDUP(E9*0.36,0),5)-I9*60,0)</f>
        <v>5</v>
      </c>
      <c r="L9" s="204" t="s">
        <v>12</v>
      </c>
      <c r="M9" s="200">
        <v>100</v>
      </c>
      <c r="N9" s="206" t="s">
        <v>9</v>
      </c>
      <c r="O9" s="185"/>
      <c r="P9" s="195" t="s">
        <v>8</v>
      </c>
      <c r="Q9" s="207">
        <v>4450</v>
      </c>
      <c r="R9" s="206" t="s">
        <v>9</v>
      </c>
      <c r="S9" s="208"/>
      <c r="T9" s="208"/>
      <c r="U9" s="195" t="str">
        <f>P9</f>
        <v>上限運賃</v>
      </c>
      <c r="V9" s="207">
        <f>ROUNDDOWN($Q9*$V$8/$Q$8,-1)</f>
        <v>2220</v>
      </c>
      <c r="W9" s="209" t="s">
        <v>9</v>
      </c>
      <c r="X9" s="195" t="str">
        <f>P9</f>
        <v>上限運賃</v>
      </c>
      <c r="Y9" s="207">
        <f>ROUNDDOWN($Q9*$Y$8/$Q$8,-1)</f>
        <v>1480</v>
      </c>
      <c r="Z9" s="209" t="s">
        <v>9</v>
      </c>
      <c r="AA9" s="186"/>
      <c r="AB9" s="91" t="str">
        <f>HLOOKUP($AB$5,名前2!$C:$J,5,0)</f>
        <v>大　型　車</v>
      </c>
      <c r="AC9" s="91" t="str">
        <f>HLOOKUP($AC$5,名前2!$C:$J,5,0)</f>
        <v>以下のいずれかに該当する自動車。</v>
      </c>
    </row>
    <row r="10" spans="1:29" ht="16.5" customHeight="1" x14ac:dyDescent="0.2">
      <c r="A10" s="448"/>
      <c r="B10" s="228" t="s">
        <v>13</v>
      </c>
      <c r="C10" s="229">
        <f t="shared" ref="C10:C15" si="2">C9-10</f>
        <v>740</v>
      </c>
      <c r="D10" s="230" t="s">
        <v>9</v>
      </c>
      <c r="E10" s="233">
        <f>ROUND(E$9/(C10/C$9),0)</f>
        <v>174</v>
      </c>
      <c r="F10" s="229" t="s">
        <v>10</v>
      </c>
      <c r="G10" s="229">
        <v>100</v>
      </c>
      <c r="H10" s="230" t="s">
        <v>9</v>
      </c>
      <c r="I10" s="201">
        <f t="shared" si="0"/>
        <v>1</v>
      </c>
      <c r="J10" s="202" t="s">
        <v>11</v>
      </c>
      <c r="K10" s="203">
        <f t="shared" si="1"/>
        <v>5</v>
      </c>
      <c r="L10" s="204" t="s">
        <v>12</v>
      </c>
      <c r="M10" s="229">
        <v>100</v>
      </c>
      <c r="N10" s="232" t="s">
        <v>9</v>
      </c>
      <c r="O10" s="185"/>
      <c r="P10" s="228" t="s">
        <v>13</v>
      </c>
      <c r="Q10" s="233">
        <f>ROUNDUP((C10/C$9)*Q$9,-1)</f>
        <v>4400</v>
      </c>
      <c r="R10" s="232" t="s">
        <v>9</v>
      </c>
      <c r="S10" s="208"/>
      <c r="T10" s="208"/>
      <c r="U10" s="228" t="str">
        <f t="shared" ref="U10:U15" si="3">P10</f>
        <v>Ｂ運賃</v>
      </c>
      <c r="V10" s="234">
        <f t="shared" ref="V10:V15" si="4">ROUNDDOWN($Q10*$V$8/$Q$8,-1)</f>
        <v>2200</v>
      </c>
      <c r="W10" s="232" t="s">
        <v>9</v>
      </c>
      <c r="X10" s="228" t="str">
        <f t="shared" ref="X10" si="5">P10</f>
        <v>Ｂ運賃</v>
      </c>
      <c r="Y10" s="234">
        <f t="shared" ref="Y10:Y15" si="6">ROUNDDOWN($Q10*$Y$8/$Q$8,-1)</f>
        <v>1460</v>
      </c>
      <c r="Z10" s="232" t="s">
        <v>9</v>
      </c>
      <c r="AA10" s="186"/>
      <c r="AB10" s="91"/>
      <c r="AC10" s="91" t="str">
        <f>HLOOKUP($AC$5,名前2!$C:$J,6,0)</f>
        <v>一　普通自動車のうち排気量が２リットルを超えるもので</v>
      </c>
    </row>
    <row r="11" spans="1:29" ht="16.5" customHeight="1" x14ac:dyDescent="0.2">
      <c r="A11" s="448"/>
      <c r="B11" s="228" t="s">
        <v>31</v>
      </c>
      <c r="C11" s="240">
        <f t="shared" si="2"/>
        <v>730</v>
      </c>
      <c r="D11" s="241" t="s">
        <v>9</v>
      </c>
      <c r="E11" s="242">
        <f>ROUND(E$9/(C11/C$9),0)</f>
        <v>177</v>
      </c>
      <c r="F11" s="240" t="s">
        <v>10</v>
      </c>
      <c r="G11" s="229">
        <v>100</v>
      </c>
      <c r="H11" s="241" t="s">
        <v>9</v>
      </c>
      <c r="I11" s="243">
        <f t="shared" si="0"/>
        <v>1</v>
      </c>
      <c r="J11" s="221" t="s">
        <v>11</v>
      </c>
      <c r="K11" s="222">
        <f t="shared" si="1"/>
        <v>5</v>
      </c>
      <c r="L11" s="223" t="s">
        <v>12</v>
      </c>
      <c r="M11" s="229">
        <v>100</v>
      </c>
      <c r="N11" s="244" t="s">
        <v>9</v>
      </c>
      <c r="O11" s="185"/>
      <c r="P11" s="228" t="s">
        <v>31</v>
      </c>
      <c r="Q11" s="242">
        <f>ROUNDUP((C11/C$9)*Q$9,-1)</f>
        <v>4340</v>
      </c>
      <c r="R11" s="244" t="s">
        <v>9</v>
      </c>
      <c r="S11" s="208"/>
      <c r="T11" s="208"/>
      <c r="U11" s="228" t="str">
        <f t="shared" si="3"/>
        <v>Ｃ運賃</v>
      </c>
      <c r="V11" s="234">
        <f t="shared" si="4"/>
        <v>2170</v>
      </c>
      <c r="W11" s="232" t="s">
        <v>9</v>
      </c>
      <c r="X11" s="228" t="str">
        <f t="shared" ref="X11:X15" si="7">P11</f>
        <v>Ｃ運賃</v>
      </c>
      <c r="Y11" s="234">
        <f t="shared" si="6"/>
        <v>1440</v>
      </c>
      <c r="Z11" s="232" t="s">
        <v>9</v>
      </c>
      <c r="AA11" s="186"/>
      <c r="AB11" s="91"/>
      <c r="AC11" s="91" t="str">
        <f>HLOOKUP($AC$5,名前2!$C:$J,7,0)</f>
        <v>あって乗車定員が７名以上のもの（特定大型車を除く。）。</v>
      </c>
    </row>
    <row r="12" spans="1:29" ht="16.5" customHeight="1" x14ac:dyDescent="0.2">
      <c r="A12" s="448"/>
      <c r="B12" s="245" t="s">
        <v>32</v>
      </c>
      <c r="C12" s="246">
        <f t="shared" si="2"/>
        <v>720</v>
      </c>
      <c r="D12" s="230" t="s">
        <v>9</v>
      </c>
      <c r="E12" s="231">
        <f>E20</f>
        <v>190</v>
      </c>
      <c r="F12" s="229" t="s">
        <v>10</v>
      </c>
      <c r="G12" s="229">
        <v>100</v>
      </c>
      <c r="H12" s="230" t="s">
        <v>9</v>
      </c>
      <c r="I12" s="231">
        <f t="shared" si="0"/>
        <v>1</v>
      </c>
      <c r="J12" s="247" t="s">
        <v>11</v>
      </c>
      <c r="K12" s="248">
        <f t="shared" si="1"/>
        <v>10</v>
      </c>
      <c r="L12" s="236" t="s">
        <v>12</v>
      </c>
      <c r="M12" s="229">
        <v>100</v>
      </c>
      <c r="N12" s="232" t="s">
        <v>9</v>
      </c>
      <c r="O12" s="185"/>
      <c r="P12" s="245" t="s">
        <v>32</v>
      </c>
      <c r="Q12" s="234">
        <f>Q20</f>
        <v>4100</v>
      </c>
      <c r="R12" s="232" t="s">
        <v>9</v>
      </c>
      <c r="S12" s="208"/>
      <c r="T12" s="208"/>
      <c r="U12" s="228" t="str">
        <f t="shared" si="3"/>
        <v>Ｄ運賃</v>
      </c>
      <c r="V12" s="234">
        <f t="shared" si="4"/>
        <v>2050</v>
      </c>
      <c r="W12" s="232" t="s">
        <v>9</v>
      </c>
      <c r="X12" s="228" t="str">
        <f t="shared" si="7"/>
        <v>Ｄ運賃</v>
      </c>
      <c r="Y12" s="234">
        <f t="shared" si="6"/>
        <v>1360</v>
      </c>
      <c r="Z12" s="232" t="s">
        <v>9</v>
      </c>
      <c r="AA12" s="186"/>
      <c r="AB12" s="191"/>
      <c r="AC12" s="91" t="str">
        <f>HLOOKUP($AC$5,名前2!$C:$J,8,0)</f>
        <v>二　普通自動車のうち排気量が２リットル（ハイブリッド</v>
      </c>
    </row>
    <row r="13" spans="1:29" ht="16.5" customHeight="1" x14ac:dyDescent="0.2">
      <c r="A13" s="448"/>
      <c r="B13" s="228" t="s">
        <v>33</v>
      </c>
      <c r="C13" s="229">
        <f t="shared" si="2"/>
        <v>710</v>
      </c>
      <c r="D13" s="230" t="s">
        <v>9</v>
      </c>
      <c r="E13" s="233">
        <f>E21</f>
        <v>193</v>
      </c>
      <c r="F13" s="229" t="s">
        <v>10</v>
      </c>
      <c r="G13" s="229">
        <v>100</v>
      </c>
      <c r="H13" s="230" t="s">
        <v>9</v>
      </c>
      <c r="I13" s="231">
        <f t="shared" si="0"/>
        <v>1</v>
      </c>
      <c r="J13" s="247" t="s">
        <v>11</v>
      </c>
      <c r="K13" s="248">
        <f t="shared" si="1"/>
        <v>10</v>
      </c>
      <c r="L13" s="236" t="s">
        <v>12</v>
      </c>
      <c r="M13" s="229">
        <v>100</v>
      </c>
      <c r="N13" s="232" t="s">
        <v>9</v>
      </c>
      <c r="O13" s="185"/>
      <c r="P13" s="228" t="s">
        <v>34</v>
      </c>
      <c r="Q13" s="233">
        <f>Q21</f>
        <v>4050</v>
      </c>
      <c r="R13" s="232" t="s">
        <v>9</v>
      </c>
      <c r="S13" s="208"/>
      <c r="T13" s="208"/>
      <c r="U13" s="228" t="str">
        <f t="shared" si="3"/>
        <v>Ｅ運賃</v>
      </c>
      <c r="V13" s="234">
        <f t="shared" si="4"/>
        <v>2020</v>
      </c>
      <c r="W13" s="232" t="s">
        <v>9</v>
      </c>
      <c r="X13" s="228" t="str">
        <f t="shared" si="7"/>
        <v>Ｅ運賃</v>
      </c>
      <c r="Y13" s="234">
        <f t="shared" si="6"/>
        <v>1350</v>
      </c>
      <c r="Z13" s="232" t="s">
        <v>9</v>
      </c>
      <c r="AA13" s="186"/>
      <c r="AB13" s="91"/>
      <c r="AC13" s="91" t="str">
        <f>HLOOKUP($AC$5,名前2!$C:$J,9,0)</f>
        <v>自動車にあっては２．５リットル。）を超えるもので</v>
      </c>
    </row>
    <row r="14" spans="1:29" ht="16.5" customHeight="1" x14ac:dyDescent="0.2">
      <c r="A14" s="448"/>
      <c r="B14" s="245" t="s">
        <v>35</v>
      </c>
      <c r="C14" s="249">
        <f t="shared" si="2"/>
        <v>700</v>
      </c>
      <c r="D14" s="250" t="s">
        <v>9</v>
      </c>
      <c r="E14" s="243">
        <f>E22</f>
        <v>225</v>
      </c>
      <c r="F14" s="208" t="s">
        <v>10</v>
      </c>
      <c r="G14" s="229">
        <v>100</v>
      </c>
      <c r="H14" s="250" t="s">
        <v>9</v>
      </c>
      <c r="I14" s="243">
        <f t="shared" si="0"/>
        <v>1</v>
      </c>
      <c r="J14" s="221" t="s">
        <v>11</v>
      </c>
      <c r="K14" s="222">
        <f t="shared" si="1"/>
        <v>25</v>
      </c>
      <c r="L14" s="223" t="s">
        <v>12</v>
      </c>
      <c r="M14" s="229">
        <v>100</v>
      </c>
      <c r="N14" s="251" t="s">
        <v>9</v>
      </c>
      <c r="O14" s="185"/>
      <c r="P14" s="245" t="s">
        <v>35</v>
      </c>
      <c r="Q14" s="252">
        <f>Q22</f>
        <v>3600</v>
      </c>
      <c r="R14" s="251" t="s">
        <v>9</v>
      </c>
      <c r="S14" s="208"/>
      <c r="T14" s="208"/>
      <c r="U14" s="228" t="str">
        <f t="shared" si="3"/>
        <v>Ｆ運賃</v>
      </c>
      <c r="V14" s="234">
        <f t="shared" si="4"/>
        <v>1800</v>
      </c>
      <c r="W14" s="232" t="s">
        <v>9</v>
      </c>
      <c r="X14" s="228" t="str">
        <f t="shared" si="7"/>
        <v>Ｆ運賃</v>
      </c>
      <c r="Y14" s="234">
        <f t="shared" si="6"/>
        <v>1200</v>
      </c>
      <c r="Z14" s="232" t="s">
        <v>9</v>
      </c>
      <c r="AA14" s="186"/>
      <c r="AB14" s="91"/>
      <c r="AC14" s="91" t="str">
        <f>HLOOKUP($AC$5,名前2!$C:$J,10,0)</f>
        <v>あって乗車定員が６名以下のもの。</v>
      </c>
    </row>
    <row r="15" spans="1:29" ht="16.5" customHeight="1" thickBot="1" x14ac:dyDescent="0.25">
      <c r="A15" s="448"/>
      <c r="B15" s="226" t="s">
        <v>7</v>
      </c>
      <c r="C15" s="253">
        <f t="shared" si="2"/>
        <v>690</v>
      </c>
      <c r="D15" s="211" t="s">
        <v>9</v>
      </c>
      <c r="E15" s="213">
        <f>E23</f>
        <v>228</v>
      </c>
      <c r="F15" s="211" t="s">
        <v>10</v>
      </c>
      <c r="G15" s="211">
        <v>100</v>
      </c>
      <c r="H15" s="211" t="s">
        <v>9</v>
      </c>
      <c r="I15" s="213">
        <f t="shared" si="0"/>
        <v>1</v>
      </c>
      <c r="J15" s="254" t="s">
        <v>11</v>
      </c>
      <c r="K15" s="255">
        <f t="shared" si="1"/>
        <v>25</v>
      </c>
      <c r="L15" s="237" t="s">
        <v>12</v>
      </c>
      <c r="M15" s="211">
        <v>100</v>
      </c>
      <c r="N15" s="218" t="s">
        <v>9</v>
      </c>
      <c r="O15" s="185"/>
      <c r="P15" s="226" t="s">
        <v>7</v>
      </c>
      <c r="Q15" s="256">
        <f>Q23</f>
        <v>3550</v>
      </c>
      <c r="R15" s="218" t="s">
        <v>9</v>
      </c>
      <c r="S15" s="186"/>
      <c r="T15" s="208"/>
      <c r="U15" s="226" t="str">
        <f t="shared" si="3"/>
        <v>下限運賃</v>
      </c>
      <c r="V15" s="235">
        <f t="shared" si="4"/>
        <v>1770</v>
      </c>
      <c r="W15" s="218" t="s">
        <v>9</v>
      </c>
      <c r="X15" s="226" t="str">
        <f t="shared" si="7"/>
        <v>下限運賃</v>
      </c>
      <c r="Y15" s="235">
        <f t="shared" si="6"/>
        <v>1180</v>
      </c>
      <c r="Z15" s="218" t="s">
        <v>9</v>
      </c>
      <c r="AA15" s="186"/>
      <c r="AB15" s="91" t="str">
        <f>HLOOKUP($AB$5,名前2!$C:$J,11,0)</f>
        <v>普　通　車</v>
      </c>
      <c r="AC15" s="91" t="str">
        <f>HLOOKUP($AC$5,名前2!$C:$J,11,0)</f>
        <v>以下のいずれかに該当する自動車。</v>
      </c>
    </row>
    <row r="16" spans="1:29" ht="13.5" customHeight="1" x14ac:dyDescent="0.2">
      <c r="A16" s="243"/>
      <c r="B16" s="220"/>
      <c r="C16" s="208"/>
      <c r="D16" s="208"/>
      <c r="E16" s="224"/>
      <c r="F16" s="208"/>
      <c r="G16" s="208"/>
      <c r="H16" s="208"/>
      <c r="I16" s="208"/>
      <c r="J16" s="221"/>
      <c r="K16" s="222"/>
      <c r="L16" s="223"/>
      <c r="M16" s="208"/>
      <c r="N16" s="208"/>
      <c r="O16" s="186"/>
      <c r="P16" s="220"/>
      <c r="Q16" s="224"/>
      <c r="R16" s="208"/>
      <c r="S16" s="192"/>
      <c r="T16" s="208"/>
      <c r="U16" s="186"/>
      <c r="V16" s="186"/>
      <c r="W16" s="186"/>
      <c r="X16" s="186"/>
      <c r="Y16" s="186"/>
      <c r="Z16" s="186"/>
      <c r="AA16" s="186"/>
      <c r="AB16" s="91"/>
      <c r="AC16" s="91" t="str">
        <f>HLOOKUP($AC$5,名前2!$C:$J,12,0)</f>
        <v>一　普通自動車又は小型自動車のうち特定大型車及び大型</v>
      </c>
    </row>
    <row r="17" spans="1:29" ht="16.5" customHeight="1" thickBot="1" x14ac:dyDescent="0.25">
      <c r="A17" s="243" t="s">
        <v>19</v>
      </c>
      <c r="B17" s="186"/>
      <c r="C17" s="186"/>
      <c r="D17" s="186"/>
      <c r="E17" s="186"/>
      <c r="F17" s="186"/>
      <c r="G17" s="186"/>
      <c r="H17" s="186"/>
      <c r="I17" s="186"/>
      <c r="J17" s="186"/>
      <c r="K17" s="186"/>
      <c r="L17" s="186"/>
      <c r="M17" s="186"/>
      <c r="N17" s="186"/>
      <c r="O17" s="186"/>
      <c r="P17" s="186"/>
      <c r="Q17" s="186"/>
      <c r="R17" s="186"/>
      <c r="S17" s="194"/>
      <c r="T17" s="186"/>
      <c r="U17" s="186"/>
      <c r="V17" s="186"/>
      <c r="W17" s="186"/>
      <c r="X17" s="186"/>
      <c r="Y17" s="186"/>
      <c r="Z17" s="186"/>
      <c r="AA17" s="186"/>
      <c r="AB17" s="91"/>
      <c r="AC17" s="91" t="str">
        <f>HLOOKUP($AC$5,名前2!$C:$J,13,0)</f>
        <v>車に該当する自動車以外のもの。</v>
      </c>
    </row>
    <row r="18" spans="1:29" ht="16.5" customHeight="1" x14ac:dyDescent="0.2">
      <c r="A18" s="243"/>
      <c r="B18" s="550"/>
      <c r="C18" s="562" t="s">
        <v>3</v>
      </c>
      <c r="D18" s="563"/>
      <c r="E18" s="563"/>
      <c r="F18" s="563"/>
      <c r="G18" s="563"/>
      <c r="H18" s="564"/>
      <c r="I18" s="554" t="s">
        <v>4</v>
      </c>
      <c r="J18" s="555"/>
      <c r="K18" s="555"/>
      <c r="L18" s="555"/>
      <c r="M18" s="555"/>
      <c r="N18" s="556"/>
      <c r="O18" s="186"/>
      <c r="P18" s="550"/>
      <c r="Q18" s="562" t="s">
        <v>5</v>
      </c>
      <c r="R18" s="565"/>
      <c r="S18" s="208"/>
      <c r="T18" s="192"/>
      <c r="U18" s="550"/>
      <c r="V18" s="552" t="s">
        <v>5</v>
      </c>
      <c r="W18" s="560"/>
      <c r="X18" s="550"/>
      <c r="Y18" s="552" t="s">
        <v>5</v>
      </c>
      <c r="Z18" s="560"/>
      <c r="AA18" s="186"/>
      <c r="AB18" s="91"/>
      <c r="AC18" s="91" t="str">
        <f>HLOOKUP($AC$5,名前2!$C:$J,14,0)</f>
        <v>二　道路運送車両法施行規則第２条に定める軽自動車（</v>
      </c>
    </row>
    <row r="19" spans="1:29" ht="30" customHeight="1" thickBot="1" x14ac:dyDescent="0.25">
      <c r="A19" s="447" t="str">
        <f>IF(COUNTIF(A20:A26,"○")=0,"無","")</f>
        <v>無</v>
      </c>
      <c r="B19" s="551"/>
      <c r="C19" s="567" t="s">
        <v>30</v>
      </c>
      <c r="D19" s="568"/>
      <c r="E19" s="544" t="s">
        <v>6</v>
      </c>
      <c r="F19" s="545"/>
      <c r="G19" s="545"/>
      <c r="H19" s="546"/>
      <c r="I19" s="557"/>
      <c r="J19" s="558"/>
      <c r="K19" s="558"/>
      <c r="L19" s="558"/>
      <c r="M19" s="558"/>
      <c r="N19" s="559"/>
      <c r="O19" s="193" t="str">
        <f>IF(COUNTIF(O20:O26,"○")=0,"無","")</f>
        <v>無</v>
      </c>
      <c r="P19" s="551"/>
      <c r="Q19" s="547">
        <v>30</v>
      </c>
      <c r="R19" s="548"/>
      <c r="S19" s="208"/>
      <c r="T19" s="194"/>
      <c r="U19" s="551"/>
      <c r="V19" s="547">
        <v>15</v>
      </c>
      <c r="W19" s="548"/>
      <c r="X19" s="551"/>
      <c r="Y19" s="547">
        <v>10</v>
      </c>
      <c r="Z19" s="548"/>
      <c r="AA19" s="186"/>
      <c r="AB19" s="91"/>
      <c r="AC19" s="91" t="str">
        <f>HLOOKUP($AC$5,名前2!$C:$J,15,0)</f>
        <v>以下「軽自動車」という。）のうち、内燃機関を搭載し</v>
      </c>
    </row>
    <row r="20" spans="1:29" ht="16.5" customHeight="1" thickTop="1" x14ac:dyDescent="0.2">
      <c r="A20" s="448"/>
      <c r="B20" s="195" t="s">
        <v>8</v>
      </c>
      <c r="C20" s="196">
        <v>720</v>
      </c>
      <c r="D20" s="197" t="s">
        <v>9</v>
      </c>
      <c r="E20" s="198">
        <v>190</v>
      </c>
      <c r="F20" s="199" t="s">
        <v>10</v>
      </c>
      <c r="G20" s="200">
        <v>100</v>
      </c>
      <c r="H20" s="197" t="s">
        <v>9</v>
      </c>
      <c r="I20" s="201">
        <f t="shared" ref="I20:I26" si="8">TRUNC(CEILING(ROUNDUP(E20*0.36,0),5)/60,0)</f>
        <v>1</v>
      </c>
      <c r="J20" s="202" t="s">
        <v>11</v>
      </c>
      <c r="K20" s="203">
        <f t="shared" ref="K20:K26" si="9">TRUNC(CEILING(ROUNDUP(E20*0.36,0),5)-I20*60,0)</f>
        <v>10</v>
      </c>
      <c r="L20" s="204" t="s">
        <v>12</v>
      </c>
      <c r="M20" s="200">
        <v>100</v>
      </c>
      <c r="N20" s="206" t="s">
        <v>9</v>
      </c>
      <c r="O20" s="185"/>
      <c r="P20" s="195" t="s">
        <v>8</v>
      </c>
      <c r="Q20" s="207">
        <v>4100</v>
      </c>
      <c r="R20" s="206" t="s">
        <v>9</v>
      </c>
      <c r="S20" s="208"/>
      <c r="T20" s="208"/>
      <c r="U20" s="195" t="str">
        <f>P20</f>
        <v>上限運賃</v>
      </c>
      <c r="V20" s="207">
        <f>ROUNDDOWN($Q20*$V$8/$Q$8,-1)</f>
        <v>2050</v>
      </c>
      <c r="W20" s="209" t="s">
        <v>9</v>
      </c>
      <c r="X20" s="195" t="str">
        <f>P20</f>
        <v>上限運賃</v>
      </c>
      <c r="Y20" s="207">
        <f>ROUNDDOWN($Q20*$Y$8/$Q$8,-1)</f>
        <v>1360</v>
      </c>
      <c r="Z20" s="209" t="s">
        <v>9</v>
      </c>
      <c r="AA20" s="186"/>
      <c r="AB20" s="91"/>
      <c r="AC20" s="91" t="str">
        <f>HLOOKUP($AC$5,名前2!$C:$J,16,0)</f>
        <v>ないもの又は福祉輸送サービスの用に供するものに限る。</v>
      </c>
    </row>
    <row r="21" spans="1:29" ht="16.5" customHeight="1" x14ac:dyDescent="0.2">
      <c r="A21" s="448"/>
      <c r="B21" s="228" t="s">
        <v>13</v>
      </c>
      <c r="C21" s="240">
        <f t="shared" ref="C21:C26" si="10">C20-10</f>
        <v>710</v>
      </c>
      <c r="D21" s="241" t="s">
        <v>9</v>
      </c>
      <c r="E21" s="242">
        <f>ROUND(E$20/(C21/C$20),0)</f>
        <v>193</v>
      </c>
      <c r="F21" s="240" t="s">
        <v>10</v>
      </c>
      <c r="G21" s="240">
        <v>100</v>
      </c>
      <c r="H21" s="241" t="s">
        <v>9</v>
      </c>
      <c r="I21" s="243">
        <f t="shared" si="8"/>
        <v>1</v>
      </c>
      <c r="J21" s="221" t="s">
        <v>11</v>
      </c>
      <c r="K21" s="222">
        <f t="shared" si="9"/>
        <v>10</v>
      </c>
      <c r="L21" s="223" t="s">
        <v>12</v>
      </c>
      <c r="M21" s="240">
        <v>100</v>
      </c>
      <c r="N21" s="244" t="s">
        <v>9</v>
      </c>
      <c r="O21" s="185"/>
      <c r="P21" s="228" t="s">
        <v>13</v>
      </c>
      <c r="Q21" s="242">
        <f>ROUNDUP((C21/C$20)*Q$20,-1)</f>
        <v>4050</v>
      </c>
      <c r="R21" s="244" t="s">
        <v>9</v>
      </c>
      <c r="S21" s="208"/>
      <c r="T21" s="208"/>
      <c r="U21" s="228" t="str">
        <f t="shared" ref="U21:U26" si="11">P21</f>
        <v>Ｂ運賃</v>
      </c>
      <c r="V21" s="234">
        <f t="shared" ref="V21:V26" si="12">ROUNDDOWN($Q21*$V$8/$Q$8,-1)</f>
        <v>2020</v>
      </c>
      <c r="W21" s="232" t="s">
        <v>9</v>
      </c>
      <c r="X21" s="228" t="str">
        <f t="shared" ref="X21:X26" si="13">P21</f>
        <v>Ｂ運賃</v>
      </c>
      <c r="Y21" s="234">
        <f t="shared" ref="Y21:Y26" si="14">ROUNDDOWN($Q21*$Y$8/$Q$8,-1)</f>
        <v>1350</v>
      </c>
      <c r="Z21" s="232" t="s">
        <v>9</v>
      </c>
      <c r="AA21" s="186"/>
      <c r="AB21" s="91"/>
      <c r="AC21" s="91" t="str">
        <f>HLOOKUP($AC$5,名前2!$C:$J,17,0)</f>
        <v>ただし、「タクシー事業における軽自動車の活用について」</v>
      </c>
    </row>
    <row r="22" spans="1:29" ht="16.5" customHeight="1" x14ac:dyDescent="0.2">
      <c r="A22" s="448"/>
      <c r="B22" s="228" t="s">
        <v>31</v>
      </c>
      <c r="C22" s="246">
        <f t="shared" si="10"/>
        <v>700</v>
      </c>
      <c r="D22" s="230" t="s">
        <v>9</v>
      </c>
      <c r="E22" s="231">
        <f>E31</f>
        <v>225</v>
      </c>
      <c r="F22" s="229" t="s">
        <v>10</v>
      </c>
      <c r="G22" s="240">
        <v>100</v>
      </c>
      <c r="H22" s="230" t="s">
        <v>9</v>
      </c>
      <c r="I22" s="231">
        <f t="shared" si="8"/>
        <v>1</v>
      </c>
      <c r="J22" s="247" t="s">
        <v>11</v>
      </c>
      <c r="K22" s="248">
        <f t="shared" si="9"/>
        <v>25</v>
      </c>
      <c r="L22" s="236" t="s">
        <v>12</v>
      </c>
      <c r="M22" s="240">
        <v>100</v>
      </c>
      <c r="N22" s="232" t="s">
        <v>9</v>
      </c>
      <c r="O22" s="185"/>
      <c r="P22" s="228" t="s">
        <v>31</v>
      </c>
      <c r="Q22" s="234">
        <f>Q31</f>
        <v>3600</v>
      </c>
      <c r="R22" s="232" t="s">
        <v>9</v>
      </c>
      <c r="S22" s="208"/>
      <c r="T22" s="208"/>
      <c r="U22" s="228" t="str">
        <f t="shared" si="11"/>
        <v>Ｃ運賃</v>
      </c>
      <c r="V22" s="234">
        <f t="shared" si="12"/>
        <v>1800</v>
      </c>
      <c r="W22" s="232" t="s">
        <v>9</v>
      </c>
      <c r="X22" s="228" t="str">
        <f t="shared" si="13"/>
        <v>Ｃ運賃</v>
      </c>
      <c r="Y22" s="234">
        <f t="shared" si="14"/>
        <v>1200</v>
      </c>
      <c r="Z22" s="232" t="s">
        <v>9</v>
      </c>
      <c r="AA22" s="186"/>
      <c r="AB22" s="91"/>
      <c r="AC22" s="91" t="str">
        <f>HLOOKUP($AC$5,名前2!$C:$J,18,0)</f>
        <v>（令和８年６月１日付け国自旅第３７号）別紙１．に基</v>
      </c>
    </row>
    <row r="23" spans="1:29" ht="16.5" customHeight="1" x14ac:dyDescent="0.2">
      <c r="A23" s="448"/>
      <c r="B23" s="228" t="s">
        <v>17</v>
      </c>
      <c r="C23" s="240">
        <f t="shared" si="10"/>
        <v>690</v>
      </c>
      <c r="D23" s="241" t="s">
        <v>9</v>
      </c>
      <c r="E23" s="242">
        <f>E32</f>
        <v>228</v>
      </c>
      <c r="F23" s="240" t="s">
        <v>10</v>
      </c>
      <c r="G23" s="240">
        <v>100</v>
      </c>
      <c r="H23" s="241" t="s">
        <v>9</v>
      </c>
      <c r="I23" s="257">
        <f t="shared" si="8"/>
        <v>1</v>
      </c>
      <c r="J23" s="258" t="s">
        <v>11</v>
      </c>
      <c r="K23" s="259">
        <f t="shared" si="9"/>
        <v>25</v>
      </c>
      <c r="L23" s="260" t="s">
        <v>12</v>
      </c>
      <c r="M23" s="240">
        <v>100</v>
      </c>
      <c r="N23" s="244" t="s">
        <v>9</v>
      </c>
      <c r="O23" s="185"/>
      <c r="P23" s="228" t="s">
        <v>17</v>
      </c>
      <c r="Q23" s="233">
        <f>Q32</f>
        <v>3550</v>
      </c>
      <c r="R23" s="232" t="s">
        <v>9</v>
      </c>
      <c r="S23" s="208"/>
      <c r="T23" s="208"/>
      <c r="U23" s="228" t="str">
        <f t="shared" si="11"/>
        <v>Ｄ運賃</v>
      </c>
      <c r="V23" s="234">
        <f t="shared" si="12"/>
        <v>1770</v>
      </c>
      <c r="W23" s="232" t="s">
        <v>9</v>
      </c>
      <c r="X23" s="228" t="str">
        <f t="shared" si="13"/>
        <v>Ｄ運賃</v>
      </c>
      <c r="Y23" s="234">
        <f t="shared" si="14"/>
        <v>1180</v>
      </c>
      <c r="Z23" s="232" t="s">
        <v>9</v>
      </c>
      <c r="AA23" s="186"/>
      <c r="AB23" s="91"/>
      <c r="AC23" s="91" t="str">
        <f>HLOOKUP($AC$5,名前2!$C:$J,19,0)</f>
        <v>づき近畿運輸局長が公示する地域においては、軽自動車と</v>
      </c>
    </row>
    <row r="24" spans="1:29" ht="16.5" customHeight="1" x14ac:dyDescent="0.2">
      <c r="A24" s="448"/>
      <c r="B24" s="228" t="s">
        <v>36</v>
      </c>
      <c r="C24" s="229">
        <f t="shared" si="10"/>
        <v>680</v>
      </c>
      <c r="D24" s="230" t="s">
        <v>9</v>
      </c>
      <c r="E24" s="233">
        <f>E33</f>
        <v>232</v>
      </c>
      <c r="F24" s="229" t="s">
        <v>10</v>
      </c>
      <c r="G24" s="240">
        <v>100</v>
      </c>
      <c r="H24" s="230" t="s">
        <v>9</v>
      </c>
      <c r="I24" s="231">
        <f t="shared" si="8"/>
        <v>1</v>
      </c>
      <c r="J24" s="247" t="s">
        <v>11</v>
      </c>
      <c r="K24" s="248">
        <f t="shared" si="9"/>
        <v>25</v>
      </c>
      <c r="L24" s="236" t="s">
        <v>12</v>
      </c>
      <c r="M24" s="240">
        <v>100</v>
      </c>
      <c r="N24" s="232" t="s">
        <v>9</v>
      </c>
      <c r="O24" s="185"/>
      <c r="P24" s="228" t="s">
        <v>36</v>
      </c>
      <c r="Q24" s="261">
        <f>Q33</f>
        <v>3500</v>
      </c>
      <c r="R24" s="262" t="s">
        <v>9</v>
      </c>
      <c r="S24" s="186"/>
      <c r="T24" s="208"/>
      <c r="U24" s="228" t="str">
        <f t="shared" si="11"/>
        <v>Ｅ運賃</v>
      </c>
      <c r="V24" s="234">
        <f t="shared" si="12"/>
        <v>1750</v>
      </c>
      <c r="W24" s="232" t="s">
        <v>9</v>
      </c>
      <c r="X24" s="228" t="str">
        <f t="shared" si="13"/>
        <v>Ｅ運賃</v>
      </c>
      <c r="Y24" s="234">
        <f t="shared" si="14"/>
        <v>1160</v>
      </c>
      <c r="Z24" s="232" t="s">
        <v>9</v>
      </c>
      <c r="AA24" s="186"/>
      <c r="AB24" s="91"/>
      <c r="AC24" s="91" t="str">
        <f>HLOOKUP($AC$5,名前2!$C:$J,20,0)</f>
        <v>する。</v>
      </c>
    </row>
    <row r="25" spans="1:29" ht="16.5" customHeight="1" x14ac:dyDescent="0.2">
      <c r="A25" s="448"/>
      <c r="B25" s="228" t="s">
        <v>37</v>
      </c>
      <c r="C25" s="229">
        <f t="shared" si="10"/>
        <v>670</v>
      </c>
      <c r="D25" s="230" t="s">
        <v>9</v>
      </c>
      <c r="E25" s="233">
        <f>E34</f>
        <v>235</v>
      </c>
      <c r="F25" s="229" t="s">
        <v>10</v>
      </c>
      <c r="G25" s="240">
        <v>100</v>
      </c>
      <c r="H25" s="230" t="s">
        <v>9</v>
      </c>
      <c r="I25" s="231">
        <f t="shared" si="8"/>
        <v>1</v>
      </c>
      <c r="J25" s="247" t="s">
        <v>11</v>
      </c>
      <c r="K25" s="248">
        <f t="shared" si="9"/>
        <v>25</v>
      </c>
      <c r="L25" s="236" t="s">
        <v>12</v>
      </c>
      <c r="M25" s="240">
        <v>100</v>
      </c>
      <c r="N25" s="232" t="s">
        <v>9</v>
      </c>
      <c r="O25" s="185"/>
      <c r="P25" s="228" t="s">
        <v>37</v>
      </c>
      <c r="Q25" s="261">
        <f>Q34</f>
        <v>3450</v>
      </c>
      <c r="R25" s="262" t="s">
        <v>9</v>
      </c>
      <c r="S25" s="192"/>
      <c r="T25" s="208"/>
      <c r="U25" s="228" t="str">
        <f t="shared" si="11"/>
        <v>Ｆ運賃</v>
      </c>
      <c r="V25" s="234">
        <f t="shared" si="12"/>
        <v>1720</v>
      </c>
      <c r="W25" s="232" t="s">
        <v>9</v>
      </c>
      <c r="X25" s="228" t="str">
        <f t="shared" si="13"/>
        <v>Ｆ運賃</v>
      </c>
      <c r="Y25" s="234">
        <f t="shared" si="14"/>
        <v>1150</v>
      </c>
      <c r="Z25" s="232" t="s">
        <v>9</v>
      </c>
      <c r="AA25" s="186"/>
      <c r="AB25" s="91" t="str">
        <f>HLOOKUP($AB$5,名前2!$C:$J,21,0)</f>
        <v>備　　　考　</v>
      </c>
      <c r="AC25" s="91" t="str">
        <f>HLOOKUP($AC$5,名前2!$C:$J,21,0)</f>
        <v>１　自動車検査証に記載されている諸元を基準とする。</v>
      </c>
    </row>
    <row r="26" spans="1:29" ht="16.5" customHeight="1" thickBot="1" x14ac:dyDescent="0.25">
      <c r="A26" s="448"/>
      <c r="B26" s="226" t="s">
        <v>7</v>
      </c>
      <c r="C26" s="211">
        <f t="shared" si="10"/>
        <v>660</v>
      </c>
      <c r="D26" s="263" t="s">
        <v>9</v>
      </c>
      <c r="E26" s="219">
        <f>E35</f>
        <v>239</v>
      </c>
      <c r="F26" s="264" t="s">
        <v>10</v>
      </c>
      <c r="G26" s="211">
        <v>100</v>
      </c>
      <c r="H26" s="212" t="s">
        <v>9</v>
      </c>
      <c r="I26" s="213">
        <f t="shared" si="8"/>
        <v>1</v>
      </c>
      <c r="J26" s="254" t="s">
        <v>11</v>
      </c>
      <c r="K26" s="255">
        <f t="shared" si="9"/>
        <v>30</v>
      </c>
      <c r="L26" s="237" t="s">
        <v>12</v>
      </c>
      <c r="M26" s="211">
        <v>100</v>
      </c>
      <c r="N26" s="265" t="s">
        <v>9</v>
      </c>
      <c r="O26" s="185"/>
      <c r="P26" s="226" t="s">
        <v>7</v>
      </c>
      <c r="Q26" s="266">
        <f>Q35</f>
        <v>3400</v>
      </c>
      <c r="R26" s="218" t="s">
        <v>9</v>
      </c>
      <c r="S26" s="194"/>
      <c r="T26" s="208"/>
      <c r="U26" s="226" t="str">
        <f t="shared" si="11"/>
        <v>下限運賃</v>
      </c>
      <c r="V26" s="235">
        <f t="shared" si="12"/>
        <v>1700</v>
      </c>
      <c r="W26" s="218" t="s">
        <v>9</v>
      </c>
      <c r="X26" s="226" t="str">
        <f t="shared" si="13"/>
        <v>下限運賃</v>
      </c>
      <c r="Y26" s="235">
        <f t="shared" si="14"/>
        <v>1130</v>
      </c>
      <c r="Z26" s="218" t="s">
        <v>9</v>
      </c>
      <c r="AA26" s="186"/>
      <c r="AB26" s="91"/>
      <c r="AC26" s="91" t="str">
        <f>HLOOKUP($AC$5,名前2!$C:$J,22,0)</f>
        <v>２　車体の形状が患者輸送車、車いす移動車又は身体障害</v>
      </c>
    </row>
    <row r="27" spans="1:29" ht="13.5" customHeight="1" x14ac:dyDescent="0.2">
      <c r="A27" s="243"/>
      <c r="B27" s="220"/>
      <c r="C27" s="208"/>
      <c r="D27" s="208"/>
      <c r="E27" s="224"/>
      <c r="F27" s="208"/>
      <c r="G27" s="208"/>
      <c r="H27" s="208"/>
      <c r="I27" s="208"/>
      <c r="J27" s="221"/>
      <c r="K27" s="222"/>
      <c r="L27" s="223"/>
      <c r="M27" s="208"/>
      <c r="N27" s="208"/>
      <c r="O27" s="186"/>
      <c r="P27" s="220"/>
      <c r="Q27" s="224"/>
      <c r="R27" s="208"/>
      <c r="S27" s="208"/>
      <c r="T27" s="208"/>
      <c r="U27" s="186"/>
      <c r="V27" s="186"/>
      <c r="W27" s="186"/>
      <c r="X27" s="186"/>
      <c r="Y27" s="186"/>
      <c r="Z27" s="186"/>
      <c r="AA27" s="186"/>
      <c r="AB27" s="91"/>
      <c r="AC27" s="91" t="str">
        <f>HLOOKUP($AC$5,名前2!$C:$J,23,0)</f>
        <v>者輸送車である特種自動車については、上記の車種区分に</v>
      </c>
    </row>
    <row r="28" spans="1:29" ht="16.5" customHeight="1" thickBot="1" x14ac:dyDescent="0.25">
      <c r="A28" s="243" t="s">
        <v>23</v>
      </c>
      <c r="B28" s="186"/>
      <c r="C28" s="186"/>
      <c r="D28" s="186"/>
      <c r="E28" s="186"/>
      <c r="F28" s="186"/>
      <c r="G28" s="186"/>
      <c r="H28" s="186"/>
      <c r="I28" s="186"/>
      <c r="J28" s="186"/>
      <c r="K28" s="186"/>
      <c r="L28" s="186"/>
      <c r="M28" s="186"/>
      <c r="N28" s="186"/>
      <c r="O28" s="186"/>
      <c r="P28" s="186"/>
      <c r="Q28" s="186"/>
      <c r="R28" s="186"/>
      <c r="S28" s="208"/>
      <c r="T28" s="186"/>
      <c r="U28" s="186"/>
      <c r="V28" s="186"/>
      <c r="W28" s="186"/>
      <c r="X28" s="186"/>
      <c r="Y28" s="186"/>
      <c r="Z28" s="186"/>
      <c r="AA28" s="186"/>
      <c r="AB28" s="91"/>
      <c r="AC28" s="91" t="str">
        <f>HLOOKUP($AC$5,名前2!$C:$J,24,0)</f>
        <v>よらず、以下の区分を適用する。</v>
      </c>
    </row>
    <row r="29" spans="1:29" ht="16.5" customHeight="1" x14ac:dyDescent="0.2">
      <c r="A29" s="243"/>
      <c r="B29" s="550"/>
      <c r="C29" s="562" t="s">
        <v>3</v>
      </c>
      <c r="D29" s="563"/>
      <c r="E29" s="563"/>
      <c r="F29" s="563"/>
      <c r="G29" s="563"/>
      <c r="H29" s="564"/>
      <c r="I29" s="554" t="s">
        <v>4</v>
      </c>
      <c r="J29" s="555"/>
      <c r="K29" s="555"/>
      <c r="L29" s="555"/>
      <c r="M29" s="555"/>
      <c r="N29" s="556"/>
      <c r="O29" s="186"/>
      <c r="P29" s="550"/>
      <c r="Q29" s="562" t="s">
        <v>5</v>
      </c>
      <c r="R29" s="565"/>
      <c r="S29" s="208"/>
      <c r="T29" s="192"/>
      <c r="U29" s="550"/>
      <c r="V29" s="552" t="s">
        <v>5</v>
      </c>
      <c r="W29" s="560"/>
      <c r="X29" s="550"/>
      <c r="Y29" s="552" t="s">
        <v>5</v>
      </c>
      <c r="Z29" s="560"/>
      <c r="AA29" s="186"/>
      <c r="AB29" s="91"/>
      <c r="AC29" s="91" t="str">
        <f>HLOOKUP($AC$5,名前2!$C:$J,25,0)</f>
        <v>一　次号に掲げる自動車以外の自動車</v>
      </c>
    </row>
    <row r="30" spans="1:29" ht="30" customHeight="1" thickBot="1" x14ac:dyDescent="0.25">
      <c r="A30" s="447" t="str">
        <f>IF(COUNTIF(A31:A38,"○")=0,"無","")</f>
        <v>無</v>
      </c>
      <c r="B30" s="551"/>
      <c r="C30" s="567" t="s">
        <v>30</v>
      </c>
      <c r="D30" s="568"/>
      <c r="E30" s="544" t="s">
        <v>6</v>
      </c>
      <c r="F30" s="545"/>
      <c r="G30" s="545"/>
      <c r="H30" s="546"/>
      <c r="I30" s="557"/>
      <c r="J30" s="558"/>
      <c r="K30" s="558"/>
      <c r="L30" s="558"/>
      <c r="M30" s="558"/>
      <c r="N30" s="559"/>
      <c r="O30" s="193" t="str">
        <f>IF(COUNTIF(O31:O38,"○")=0,"無","")</f>
        <v>無</v>
      </c>
      <c r="P30" s="551"/>
      <c r="Q30" s="547">
        <v>30</v>
      </c>
      <c r="R30" s="548"/>
      <c r="S30" s="208"/>
      <c r="T30" s="194"/>
      <c r="U30" s="551"/>
      <c r="V30" s="547">
        <v>15</v>
      </c>
      <c r="W30" s="548"/>
      <c r="X30" s="551"/>
      <c r="Y30" s="547">
        <v>10</v>
      </c>
      <c r="Z30" s="548"/>
      <c r="AA30" s="186"/>
      <c r="AB30" s="91"/>
      <c r="AC30" s="91" t="str">
        <f>HLOOKUP($AC$5,名前2!$C:$J,26,0)</f>
        <v>ア　乗車定員が７名以上のもの　大型車</v>
      </c>
    </row>
    <row r="31" spans="1:29" ht="16.5" customHeight="1" thickTop="1" x14ac:dyDescent="0.2">
      <c r="A31" s="448"/>
      <c r="B31" s="195" t="s">
        <v>8</v>
      </c>
      <c r="C31" s="196">
        <v>700</v>
      </c>
      <c r="D31" s="197" t="s">
        <v>9</v>
      </c>
      <c r="E31" s="198">
        <v>225</v>
      </c>
      <c r="F31" s="199" t="s">
        <v>10</v>
      </c>
      <c r="G31" s="200">
        <v>100</v>
      </c>
      <c r="H31" s="197" t="s">
        <v>9</v>
      </c>
      <c r="I31" s="201">
        <f t="shared" ref="I31:I37" si="15">TRUNC(CEILING(ROUNDUP(E31*0.36,0),5)/60,0)</f>
        <v>1</v>
      </c>
      <c r="J31" s="202" t="s">
        <v>11</v>
      </c>
      <c r="K31" s="203">
        <f t="shared" ref="K31:K37" si="16">TRUNC(CEILING(ROUNDUP(E31*0.36,0),5)-I31*60,0)</f>
        <v>25</v>
      </c>
      <c r="L31" s="204" t="s">
        <v>12</v>
      </c>
      <c r="M31" s="200">
        <v>100</v>
      </c>
      <c r="N31" s="206" t="s">
        <v>9</v>
      </c>
      <c r="O31" s="185"/>
      <c r="P31" s="195" t="s">
        <v>8</v>
      </c>
      <c r="Q31" s="207">
        <v>3600</v>
      </c>
      <c r="R31" s="206" t="s">
        <v>9</v>
      </c>
      <c r="S31" s="208"/>
      <c r="T31" s="208"/>
      <c r="U31" s="195" t="str">
        <f>P31</f>
        <v>上限運賃</v>
      </c>
      <c r="V31" s="207">
        <f>ROUNDDOWN($Q31*$V$8/$Q$8,-1)</f>
        <v>1800</v>
      </c>
      <c r="W31" s="209" t="s">
        <v>9</v>
      </c>
      <c r="X31" s="195" t="str">
        <f>P31</f>
        <v>上限運賃</v>
      </c>
      <c r="Y31" s="207">
        <f>ROUNDDOWN($Q31*$Y$8/$Q$8,-1)</f>
        <v>1200</v>
      </c>
      <c r="Z31" s="209" t="s">
        <v>9</v>
      </c>
      <c r="AA31" s="186"/>
      <c r="AB31" s="91"/>
      <c r="AC31" s="91" t="str">
        <f>HLOOKUP($AC$5,名前2!$C:$J,27,0)</f>
        <v>イ　乗車定員が６名以下のもの　普通車</v>
      </c>
    </row>
    <row r="32" spans="1:29" ht="16.5" customHeight="1" x14ac:dyDescent="0.2">
      <c r="A32" s="448"/>
      <c r="B32" s="228" t="s">
        <v>13</v>
      </c>
      <c r="C32" s="240">
        <f>C31-10</f>
        <v>690</v>
      </c>
      <c r="D32" s="241" t="s">
        <v>9</v>
      </c>
      <c r="E32" s="242">
        <f>ROUND(E$31/(C32/C$31),0)</f>
        <v>228</v>
      </c>
      <c r="F32" s="240" t="s">
        <v>10</v>
      </c>
      <c r="G32" s="240">
        <v>100</v>
      </c>
      <c r="H32" s="241" t="s">
        <v>9</v>
      </c>
      <c r="I32" s="243">
        <f t="shared" si="15"/>
        <v>1</v>
      </c>
      <c r="J32" s="221" t="s">
        <v>11</v>
      </c>
      <c r="K32" s="222">
        <f t="shared" si="16"/>
        <v>25</v>
      </c>
      <c r="L32" s="223" t="s">
        <v>12</v>
      </c>
      <c r="M32" s="240">
        <v>100</v>
      </c>
      <c r="N32" s="244" t="s">
        <v>9</v>
      </c>
      <c r="O32" s="185"/>
      <c r="P32" s="228" t="s">
        <v>13</v>
      </c>
      <c r="Q32" s="242">
        <f>ROUNDUP((C32/C$31)*Q$31,-1)</f>
        <v>3550</v>
      </c>
      <c r="R32" s="244" t="s">
        <v>9</v>
      </c>
      <c r="S32" s="186"/>
      <c r="T32" s="208"/>
      <c r="U32" s="228" t="str">
        <f t="shared" ref="U32:U37" si="17">P32</f>
        <v>Ｂ運賃</v>
      </c>
      <c r="V32" s="234">
        <f t="shared" ref="V32:V37" si="18">ROUNDDOWN($Q32*$V$8/$Q$8,-1)</f>
        <v>1770</v>
      </c>
      <c r="W32" s="232" t="s">
        <v>9</v>
      </c>
      <c r="X32" s="228" t="str">
        <f t="shared" ref="X32:X37" si="19">P32</f>
        <v>Ｂ運賃</v>
      </c>
      <c r="Y32" s="234">
        <f t="shared" ref="Y32:Y37" si="20">ROUNDDOWN($Q32*$Y$8/$Q$8,-1)</f>
        <v>1180</v>
      </c>
      <c r="Z32" s="232" t="s">
        <v>9</v>
      </c>
      <c r="AA32" s="186"/>
      <c r="AB32" s="91"/>
      <c r="AC32" s="91" t="str">
        <f>HLOOKUP($AC$5,名前2!$C:$J,28,0)</f>
        <v>二　専ら旅客を寝台に乗せて運行することを目的とする</v>
      </c>
    </row>
    <row r="33" spans="1:29" ht="16.5" customHeight="1" x14ac:dyDescent="0.2">
      <c r="A33" s="448"/>
      <c r="B33" s="228" t="s">
        <v>31</v>
      </c>
      <c r="C33" s="246">
        <f>C32-10</f>
        <v>680</v>
      </c>
      <c r="D33" s="230" t="s">
        <v>9</v>
      </c>
      <c r="E33" s="231">
        <f>ROUND(E$31/(C33/C$31),0)</f>
        <v>232</v>
      </c>
      <c r="F33" s="229" t="s">
        <v>10</v>
      </c>
      <c r="G33" s="240">
        <v>100</v>
      </c>
      <c r="H33" s="241" t="s">
        <v>9</v>
      </c>
      <c r="I33" s="231">
        <f t="shared" si="15"/>
        <v>1</v>
      </c>
      <c r="J33" s="247" t="s">
        <v>11</v>
      </c>
      <c r="K33" s="248">
        <f t="shared" si="16"/>
        <v>25</v>
      </c>
      <c r="L33" s="236" t="s">
        <v>12</v>
      </c>
      <c r="M33" s="240">
        <v>100</v>
      </c>
      <c r="N33" s="244" t="s">
        <v>9</v>
      </c>
      <c r="O33" s="185"/>
      <c r="P33" s="228" t="s">
        <v>31</v>
      </c>
      <c r="Q33" s="234">
        <f>ROUNDUP((C33/C$31)*Q$31,-1)</f>
        <v>3500</v>
      </c>
      <c r="R33" s="232" t="s">
        <v>9</v>
      </c>
      <c r="S33" s="186"/>
      <c r="T33" s="208"/>
      <c r="U33" s="228" t="str">
        <f t="shared" si="17"/>
        <v>Ｃ運賃</v>
      </c>
      <c r="V33" s="234">
        <f t="shared" si="18"/>
        <v>1750</v>
      </c>
      <c r="W33" s="232" t="s">
        <v>9</v>
      </c>
      <c r="X33" s="228" t="str">
        <f t="shared" si="19"/>
        <v>Ｃ運賃</v>
      </c>
      <c r="Y33" s="234">
        <f t="shared" si="20"/>
        <v>1160</v>
      </c>
      <c r="Z33" s="232" t="s">
        <v>9</v>
      </c>
      <c r="AA33" s="186"/>
      <c r="AB33" s="91"/>
      <c r="AC33" s="91" t="str">
        <f>HLOOKUP($AC$5,名前2!$C:$J,29,0)</f>
        <v>自動車</v>
      </c>
    </row>
    <row r="34" spans="1:29" ht="16.5" customHeight="1" x14ac:dyDescent="0.2">
      <c r="A34" s="448"/>
      <c r="B34" s="245" t="s">
        <v>17</v>
      </c>
      <c r="C34" s="240">
        <f>C33-10</f>
        <v>670</v>
      </c>
      <c r="D34" s="241" t="s">
        <v>9</v>
      </c>
      <c r="E34" s="242">
        <f>ROUND(E$31/(C34/C$31),0)</f>
        <v>235</v>
      </c>
      <c r="F34" s="240" t="s">
        <v>10</v>
      </c>
      <c r="G34" s="240">
        <v>100</v>
      </c>
      <c r="H34" s="241" t="s">
        <v>9</v>
      </c>
      <c r="I34" s="257">
        <f t="shared" si="15"/>
        <v>1</v>
      </c>
      <c r="J34" s="258" t="s">
        <v>11</v>
      </c>
      <c r="K34" s="259">
        <f t="shared" si="16"/>
        <v>25</v>
      </c>
      <c r="L34" s="260" t="s">
        <v>12</v>
      </c>
      <c r="M34" s="240">
        <v>100</v>
      </c>
      <c r="N34" s="244" t="s">
        <v>9</v>
      </c>
      <c r="O34" s="185"/>
      <c r="P34" s="228" t="s">
        <v>17</v>
      </c>
      <c r="Q34" s="242">
        <f>ROUNDUP((C34/C$31)*Q$31,-1)</f>
        <v>3450</v>
      </c>
      <c r="R34" s="232" t="s">
        <v>9</v>
      </c>
      <c r="S34" s="186"/>
      <c r="T34" s="208"/>
      <c r="U34" s="228" t="str">
        <f t="shared" si="17"/>
        <v>Ｄ運賃</v>
      </c>
      <c r="V34" s="234">
        <f t="shared" si="18"/>
        <v>1720</v>
      </c>
      <c r="W34" s="232" t="s">
        <v>9</v>
      </c>
      <c r="X34" s="228" t="str">
        <f t="shared" si="19"/>
        <v>Ｄ運賃</v>
      </c>
      <c r="Y34" s="234">
        <f t="shared" si="20"/>
        <v>1150</v>
      </c>
      <c r="Z34" s="232" t="s">
        <v>9</v>
      </c>
      <c r="AA34" s="186"/>
      <c r="AB34" s="91"/>
      <c r="AC34" s="91" t="str">
        <f>HLOOKUP($AC$5,名前2!$C:$J,30,0)</f>
        <v>ア　普通自動車　普通自動車</v>
      </c>
    </row>
    <row r="35" spans="1:29" ht="16.5" customHeight="1" x14ac:dyDescent="0.2">
      <c r="A35" s="448"/>
      <c r="B35" s="228" t="s">
        <v>36</v>
      </c>
      <c r="C35" s="229">
        <f>C34-10</f>
        <v>660</v>
      </c>
      <c r="D35" s="230" t="s">
        <v>9</v>
      </c>
      <c r="E35" s="233">
        <f>ROUND(E$31/(C35/C$31),0)</f>
        <v>239</v>
      </c>
      <c r="F35" s="229" t="s">
        <v>10</v>
      </c>
      <c r="G35" s="240">
        <v>100</v>
      </c>
      <c r="H35" s="241" t="s">
        <v>9</v>
      </c>
      <c r="I35" s="231">
        <f t="shared" si="15"/>
        <v>1</v>
      </c>
      <c r="J35" s="247" t="s">
        <v>11</v>
      </c>
      <c r="K35" s="248">
        <f t="shared" si="16"/>
        <v>30</v>
      </c>
      <c r="L35" s="236" t="s">
        <v>12</v>
      </c>
      <c r="M35" s="240">
        <v>100</v>
      </c>
      <c r="N35" s="244" t="s">
        <v>9</v>
      </c>
      <c r="O35" s="185"/>
      <c r="P35" s="228" t="s">
        <v>36</v>
      </c>
      <c r="Q35" s="233">
        <f>ROUNDUP((C35/C$31)*Q$31,-1)</f>
        <v>3400</v>
      </c>
      <c r="R35" s="262" t="s">
        <v>9</v>
      </c>
      <c r="S35" s="186"/>
      <c r="T35" s="208"/>
      <c r="U35" s="228" t="str">
        <f t="shared" si="17"/>
        <v>Ｅ運賃</v>
      </c>
      <c r="V35" s="234">
        <f t="shared" si="18"/>
        <v>1700</v>
      </c>
      <c r="W35" s="232" t="s">
        <v>9</v>
      </c>
      <c r="X35" s="228" t="str">
        <f t="shared" si="19"/>
        <v>Ｅ運賃</v>
      </c>
      <c r="Y35" s="234">
        <f t="shared" si="20"/>
        <v>1130</v>
      </c>
      <c r="Z35" s="232" t="s">
        <v>9</v>
      </c>
      <c r="AA35" s="186"/>
      <c r="AB35" s="91"/>
      <c r="AC35" s="91" t="str">
        <f>IF(HLOOKUP($AC$5,名前2!$C:$J,31,0)=0,"",HLOOKUP($AC$5,名前2!$C:$J,31,0))</f>
        <v>イ　小型自動車　小型自動車</v>
      </c>
    </row>
    <row r="36" spans="1:29" ht="16.5" customHeight="1" x14ac:dyDescent="0.2">
      <c r="A36" s="448"/>
      <c r="B36" s="342" t="s">
        <v>37</v>
      </c>
      <c r="C36" s="229">
        <f t="shared" ref="C36:C37" si="21">C35-10</f>
        <v>650</v>
      </c>
      <c r="D36" s="230" t="s">
        <v>9</v>
      </c>
      <c r="E36" s="233">
        <f t="shared" ref="E36:E37" si="22">ROUND(E$31/(C36/C$31),0)</f>
        <v>242</v>
      </c>
      <c r="F36" s="229" t="s">
        <v>10</v>
      </c>
      <c r="G36" s="240">
        <v>100</v>
      </c>
      <c r="H36" s="241" t="s">
        <v>9</v>
      </c>
      <c r="I36" s="231">
        <f t="shared" si="15"/>
        <v>1</v>
      </c>
      <c r="J36" s="247" t="s">
        <v>11</v>
      </c>
      <c r="K36" s="248">
        <f t="shared" si="16"/>
        <v>30</v>
      </c>
      <c r="L36" s="236" t="s">
        <v>12</v>
      </c>
      <c r="M36" s="240">
        <v>100</v>
      </c>
      <c r="N36" s="244" t="s">
        <v>9</v>
      </c>
      <c r="O36" s="185"/>
      <c r="P36" s="342" t="s">
        <v>37</v>
      </c>
      <c r="Q36" s="233">
        <f t="shared" ref="Q36:Q37" si="23">ROUNDUP((C36/C$31)*Q$31,-1)</f>
        <v>3350</v>
      </c>
      <c r="R36" s="262" t="s">
        <v>9</v>
      </c>
      <c r="S36" s="186"/>
      <c r="T36" s="208"/>
      <c r="U36" s="342" t="s">
        <v>37</v>
      </c>
      <c r="V36" s="234">
        <f t="shared" si="18"/>
        <v>1670</v>
      </c>
      <c r="W36" s="232" t="s">
        <v>9</v>
      </c>
      <c r="X36" s="342" t="s">
        <v>37</v>
      </c>
      <c r="Y36" s="234">
        <f t="shared" si="20"/>
        <v>1110</v>
      </c>
      <c r="Z36" s="232" t="s">
        <v>9</v>
      </c>
      <c r="AA36" s="186"/>
      <c r="AB36" s="91"/>
      <c r="AC36" s="91" t="str">
        <f>IF(HLOOKUP($AC$5,名前2!$C:$J,32,0)=0,"",HLOOKUP($AC$5,名前2!$C:$J,32,0))</f>
        <v>３　上記の車種区分において、ハイブリッド自動車とは、</v>
      </c>
    </row>
    <row r="37" spans="1:29" ht="16.5" customHeight="1" thickBot="1" x14ac:dyDescent="0.25">
      <c r="A37" s="448"/>
      <c r="B37" s="226" t="s">
        <v>7</v>
      </c>
      <c r="C37" s="211">
        <f t="shared" si="21"/>
        <v>640</v>
      </c>
      <c r="D37" s="212" t="s">
        <v>9</v>
      </c>
      <c r="E37" s="219">
        <f t="shared" si="22"/>
        <v>246</v>
      </c>
      <c r="F37" s="211" t="s">
        <v>10</v>
      </c>
      <c r="G37" s="211">
        <v>100</v>
      </c>
      <c r="H37" s="212" t="s">
        <v>9</v>
      </c>
      <c r="I37" s="213">
        <f t="shared" si="15"/>
        <v>1</v>
      </c>
      <c r="J37" s="254" t="s">
        <v>11</v>
      </c>
      <c r="K37" s="255">
        <f t="shared" si="16"/>
        <v>30</v>
      </c>
      <c r="L37" s="237" t="s">
        <v>12</v>
      </c>
      <c r="M37" s="211">
        <v>100</v>
      </c>
      <c r="N37" s="218" t="s">
        <v>9</v>
      </c>
      <c r="O37" s="185"/>
      <c r="P37" s="226" t="s">
        <v>7</v>
      </c>
      <c r="Q37" s="219">
        <f t="shared" si="23"/>
        <v>3300</v>
      </c>
      <c r="R37" s="218" t="s">
        <v>9</v>
      </c>
      <c r="S37" s="186"/>
      <c r="T37" s="208"/>
      <c r="U37" s="226" t="str">
        <f t="shared" si="17"/>
        <v>下限運賃</v>
      </c>
      <c r="V37" s="235">
        <f t="shared" si="18"/>
        <v>1650</v>
      </c>
      <c r="W37" s="218" t="s">
        <v>9</v>
      </c>
      <c r="X37" s="226" t="str">
        <f t="shared" si="19"/>
        <v>下限運賃</v>
      </c>
      <c r="Y37" s="235">
        <f t="shared" si="20"/>
        <v>1100</v>
      </c>
      <c r="Z37" s="218" t="s">
        <v>9</v>
      </c>
      <c r="AA37" s="186"/>
      <c r="AB37" s="91"/>
      <c r="AC37" s="91" t="str">
        <f>IF(HLOOKUP($AC$5,名前2!$C:$J,33,0)=0,"",HLOOKUP($AC$5,名前2!$C:$J,33,0))</f>
        <v>内燃機関を搭載し、併せて電気又は蓄圧器に蓄えられた</v>
      </c>
    </row>
    <row r="38" spans="1:29" x14ac:dyDescent="0.2">
      <c r="A38" s="243"/>
      <c r="B38" s="220"/>
      <c r="C38" s="208"/>
      <c r="D38" s="208"/>
      <c r="E38" s="224"/>
      <c r="F38" s="208"/>
      <c r="G38" s="208"/>
      <c r="H38" s="208"/>
      <c r="I38" s="208"/>
      <c r="J38" s="221"/>
      <c r="K38" s="222"/>
      <c r="L38" s="223"/>
      <c r="M38" s="208"/>
      <c r="N38" s="208"/>
      <c r="O38" s="186"/>
      <c r="P38" s="220"/>
      <c r="Q38" s="224"/>
      <c r="R38" s="208"/>
      <c r="S38" s="186"/>
      <c r="T38" s="208"/>
      <c r="U38" s="186"/>
      <c r="V38" s="186"/>
      <c r="W38" s="186"/>
      <c r="X38" s="186"/>
      <c r="Y38" s="186"/>
      <c r="Z38" s="186"/>
      <c r="AA38" s="186"/>
      <c r="AB38" s="91"/>
      <c r="AC38" s="91" t="str">
        <f>IF(HLOOKUP($AC$5,名前2!$C:$J,34,0)=0,"",HLOOKUP($AC$5,名前2!$C:$J,34,0))</f>
        <v>圧力を動力源として用いる自動車をいう。</v>
      </c>
    </row>
    <row r="39" spans="1:29" ht="13.5" customHeight="1" x14ac:dyDescent="0.2">
      <c r="A39" s="243"/>
      <c r="B39" s="188" t="s">
        <v>259</v>
      </c>
      <c r="C39" s="189" t="str">
        <f>HYPERLINK("#手引き!B46","手引きへ戻る")</f>
        <v>手引きへ戻る</v>
      </c>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91"/>
      <c r="AC39" s="91" t="str">
        <f>IF(HLOOKUP($AC$5,名前2!$C:$J,35,0)=0,"",HLOOKUP($AC$5,名前2!$C:$J,35,0))</f>
        <v/>
      </c>
    </row>
    <row r="40" spans="1:29"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91"/>
      <c r="AC40" s="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91"/>
      <c r="AC41" s="91" t="str">
        <f>IF(HLOOKUP($AC$5,名前2!$C:$J,37,0)=0,"",HLOOKUP($AC$5,名前2!$C:$J,37,0))</f>
        <v/>
      </c>
    </row>
    <row r="42" spans="1:29"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91"/>
      <c r="AC42" s="91" t="str">
        <f>IF(HLOOKUP($AC$5,名前2!$C:$J,38,0)=0,"",HLOOKUP($AC$5,名前2!$C:$J,38,0))</f>
        <v/>
      </c>
    </row>
    <row r="43" spans="1:29"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91"/>
      <c r="AC43" s="91" t="str">
        <f>IF(HLOOKUP($AC$5,名前2!$C:$J,39,0)=0,"",HLOOKUP($AC$5,名前2!$C:$J,39,0))</f>
        <v/>
      </c>
    </row>
    <row r="44" spans="1:29"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91"/>
      <c r="AC44" s="91" t="str">
        <f>IF(HLOOKUP($AC$5,名前2!$C:$J,40,0)=0,"",HLOOKUP($AC$5,名前2!$C:$J,40,0))</f>
        <v/>
      </c>
    </row>
    <row r="45" spans="1:29" x14ac:dyDescent="0.2">
      <c r="A45" s="243"/>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91"/>
    </row>
    <row r="46" spans="1:29" x14ac:dyDescent="0.2">
      <c r="AB46" s="91"/>
    </row>
  </sheetData>
  <sheetProtection algorithmName="SHA-512" hashValue="xhAkApsx1rJ+u/AxjNFW4xcLy7diuqPFhWVjbMrbsROlNGbQFBoWMITGlmHKn9KyyDPXAZkOwhMm8rMN3wc+3A==" saltValue="SPQI3LjivoJrY0k+wk1ePQ==" spinCount="100000" sheet="1" objects="1" scenarios="1"/>
  <mergeCells count="46">
    <mergeCell ref="U29:U30"/>
    <mergeCell ref="V29:W29"/>
    <mergeCell ref="X29:X30"/>
    <mergeCell ref="Y29:Z29"/>
    <mergeCell ref="V30:W30"/>
    <mergeCell ref="Y30:Z30"/>
    <mergeCell ref="U18:U19"/>
    <mergeCell ref="V18:W18"/>
    <mergeCell ref="X18:X19"/>
    <mergeCell ref="Y18:Z18"/>
    <mergeCell ref="V19:W19"/>
    <mergeCell ref="Y19:Z19"/>
    <mergeCell ref="U7:U8"/>
    <mergeCell ref="V7:W7"/>
    <mergeCell ref="X7:X8"/>
    <mergeCell ref="Y7:Z7"/>
    <mergeCell ref="V8:W8"/>
    <mergeCell ref="Y8:Z8"/>
    <mergeCell ref="B29:B30"/>
    <mergeCell ref="C29:H29"/>
    <mergeCell ref="I29:N30"/>
    <mergeCell ref="P29:P30"/>
    <mergeCell ref="Q29:R29"/>
    <mergeCell ref="C30:D30"/>
    <mergeCell ref="E30:H30"/>
    <mergeCell ref="Q30:R30"/>
    <mergeCell ref="B18:B19"/>
    <mergeCell ref="C18:H18"/>
    <mergeCell ref="I18:N19"/>
    <mergeCell ref="P18:P19"/>
    <mergeCell ref="Q18:R18"/>
    <mergeCell ref="C19:D19"/>
    <mergeCell ref="E19:H19"/>
    <mergeCell ref="Q19:R19"/>
    <mergeCell ref="M1:R1"/>
    <mergeCell ref="B2:R2"/>
    <mergeCell ref="B7:B8"/>
    <mergeCell ref="C7:H7"/>
    <mergeCell ref="I7:N8"/>
    <mergeCell ref="P7:P8"/>
    <mergeCell ref="Q7:R7"/>
    <mergeCell ref="C8:D8"/>
    <mergeCell ref="E8:H8"/>
    <mergeCell ref="Q8:R8"/>
    <mergeCell ref="C3:S3"/>
    <mergeCell ref="C4:S4"/>
  </mergeCells>
  <phoneticPr fontId="1"/>
  <conditionalFormatting sqref="A9:A15">
    <cfRule type="expression" dxfId="29" priority="6">
      <formula>COUNTIF(A$9:A$15,"○")=1</formula>
    </cfRule>
  </conditionalFormatting>
  <conditionalFormatting sqref="A20:A26">
    <cfRule type="expression" dxfId="28" priority="4">
      <formula>COUNTIF(A$20:A$26,"○")=1</formula>
    </cfRule>
  </conditionalFormatting>
  <conditionalFormatting sqref="A31:A37">
    <cfRule type="expression" dxfId="27" priority="2">
      <formula>COUNTIF(A$31:A$37,"○")=1</formula>
    </cfRule>
  </conditionalFormatting>
  <conditionalFormatting sqref="O9:O15">
    <cfRule type="expression" dxfId="26" priority="5">
      <formula>COUNTIF(O$9:O$15,"○")=1</formula>
    </cfRule>
  </conditionalFormatting>
  <conditionalFormatting sqref="O20:O26">
    <cfRule type="expression" dxfId="25" priority="3">
      <formula>COUNTIF(O$20:O$26,"○")=1</formula>
    </cfRule>
  </conditionalFormatting>
  <conditionalFormatting sqref="O31:O37">
    <cfRule type="expression" dxfId="24" priority="1">
      <formula>COUNTIF(O$31:O$37,"○")=1</formula>
    </cfRule>
  </conditionalFormatting>
  <hyperlinks>
    <hyperlink ref="C39" location="手引き!Print_Area" display="手引きへ戻る" xr:uid="{00000000-0004-0000-0600-000000000000}"/>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名前2!$B$1:$B$2</xm:f>
          </x14:formula1>
          <xm:sqref>A31:A37 O9:O15 O20:O26 A9:A15 A20:A26 O31:O37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C48"/>
  <sheetViews>
    <sheetView view="pageBreakPreview" topLeftCell="A10" zoomScaleNormal="100" zoomScaleSheetLayoutView="100" workbookViewId="0">
      <selection activeCell="AB22" sqref="AB22"/>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33203125" style="1" bestFit="1" customWidth="1"/>
    <col min="19" max="19" width="5.6640625" style="1" customWidth="1"/>
    <col min="20"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33203125" style="1" bestFit="1" customWidth="1"/>
    <col min="275" max="275" width="5.6640625" style="1" customWidth="1"/>
    <col min="276" max="276" width="9" style="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33203125" style="1" bestFit="1" customWidth="1"/>
    <col min="531" max="531" width="5.6640625" style="1" customWidth="1"/>
    <col min="532" max="532" width="9" style="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33203125" style="1" bestFit="1" customWidth="1"/>
    <col min="787" max="787" width="5.6640625" style="1" customWidth="1"/>
    <col min="788" max="788" width="9" style="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33203125" style="1" bestFit="1" customWidth="1"/>
    <col min="1043" max="1043" width="5.6640625" style="1" customWidth="1"/>
    <col min="1044" max="1044" width="9" style="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33203125" style="1" bestFit="1" customWidth="1"/>
    <col min="1299" max="1299" width="5.6640625" style="1" customWidth="1"/>
    <col min="1300" max="1300" width="9" style="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33203125" style="1" bestFit="1" customWidth="1"/>
    <col min="1555" max="1555" width="5.6640625" style="1" customWidth="1"/>
    <col min="1556" max="1556" width="9" style="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33203125" style="1" bestFit="1" customWidth="1"/>
    <col min="1811" max="1811" width="5.6640625" style="1" customWidth="1"/>
    <col min="1812" max="1812" width="9" style="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33203125" style="1" bestFit="1" customWidth="1"/>
    <col min="2067" max="2067" width="5.6640625" style="1" customWidth="1"/>
    <col min="2068" max="2068" width="9" style="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33203125" style="1" bestFit="1" customWidth="1"/>
    <col min="2323" max="2323" width="5.6640625" style="1" customWidth="1"/>
    <col min="2324" max="2324" width="9" style="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33203125" style="1" bestFit="1" customWidth="1"/>
    <col min="2579" max="2579" width="5.6640625" style="1" customWidth="1"/>
    <col min="2580" max="2580" width="9" style="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33203125" style="1" bestFit="1" customWidth="1"/>
    <col min="2835" max="2835" width="5.6640625" style="1" customWidth="1"/>
    <col min="2836" max="2836" width="9" style="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33203125" style="1" bestFit="1" customWidth="1"/>
    <col min="3091" max="3091" width="5.6640625" style="1" customWidth="1"/>
    <col min="3092" max="3092" width="9" style="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33203125" style="1" bestFit="1" customWidth="1"/>
    <col min="3347" max="3347" width="5.6640625" style="1" customWidth="1"/>
    <col min="3348" max="3348" width="9" style="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33203125" style="1" bestFit="1" customWidth="1"/>
    <col min="3603" max="3603" width="5.6640625" style="1" customWidth="1"/>
    <col min="3604" max="3604" width="9" style="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33203125" style="1" bestFit="1" customWidth="1"/>
    <col min="3859" max="3859" width="5.6640625" style="1" customWidth="1"/>
    <col min="3860" max="3860" width="9" style="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33203125" style="1" bestFit="1" customWidth="1"/>
    <col min="4115" max="4115" width="5.6640625" style="1" customWidth="1"/>
    <col min="4116" max="4116" width="9" style="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33203125" style="1" bestFit="1" customWidth="1"/>
    <col min="4371" max="4371" width="5.6640625" style="1" customWidth="1"/>
    <col min="4372" max="4372" width="9" style="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33203125" style="1" bestFit="1" customWidth="1"/>
    <col min="4627" max="4627" width="5.6640625" style="1" customWidth="1"/>
    <col min="4628" max="4628" width="9" style="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33203125" style="1" bestFit="1" customWidth="1"/>
    <col min="4883" max="4883" width="5.6640625" style="1" customWidth="1"/>
    <col min="4884" max="4884" width="9" style="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33203125" style="1" bestFit="1" customWidth="1"/>
    <col min="5139" max="5139" width="5.6640625" style="1" customWidth="1"/>
    <col min="5140" max="5140" width="9" style="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33203125" style="1" bestFit="1" customWidth="1"/>
    <col min="5395" max="5395" width="5.6640625" style="1" customWidth="1"/>
    <col min="5396" max="5396" width="9" style="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33203125" style="1" bestFit="1" customWidth="1"/>
    <col min="5651" max="5651" width="5.6640625" style="1" customWidth="1"/>
    <col min="5652" max="5652" width="9" style="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33203125" style="1" bestFit="1" customWidth="1"/>
    <col min="5907" max="5907" width="5.6640625" style="1" customWidth="1"/>
    <col min="5908" max="5908" width="9" style="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33203125" style="1" bestFit="1" customWidth="1"/>
    <col min="6163" max="6163" width="5.6640625" style="1" customWidth="1"/>
    <col min="6164" max="6164" width="9" style="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33203125" style="1" bestFit="1" customWidth="1"/>
    <col min="6419" max="6419" width="5.6640625" style="1" customWidth="1"/>
    <col min="6420" max="6420" width="9" style="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33203125" style="1" bestFit="1" customWidth="1"/>
    <col min="6675" max="6675" width="5.6640625" style="1" customWidth="1"/>
    <col min="6676" max="6676" width="9" style="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33203125" style="1" bestFit="1" customWidth="1"/>
    <col min="6931" max="6931" width="5.6640625" style="1" customWidth="1"/>
    <col min="6932" max="6932" width="9" style="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33203125" style="1" bestFit="1" customWidth="1"/>
    <col min="7187" max="7187" width="5.6640625" style="1" customWidth="1"/>
    <col min="7188" max="7188" width="9" style="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33203125" style="1" bestFit="1" customWidth="1"/>
    <col min="7443" max="7443" width="5.6640625" style="1" customWidth="1"/>
    <col min="7444" max="7444" width="9" style="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33203125" style="1" bestFit="1" customWidth="1"/>
    <col min="7699" max="7699" width="5.6640625" style="1" customWidth="1"/>
    <col min="7700" max="7700" width="9" style="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33203125" style="1" bestFit="1" customWidth="1"/>
    <col min="7955" max="7955" width="5.6640625" style="1" customWidth="1"/>
    <col min="7956" max="7956" width="9" style="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33203125" style="1" bestFit="1" customWidth="1"/>
    <col min="8211" max="8211" width="5.6640625" style="1" customWidth="1"/>
    <col min="8212" max="8212" width="9" style="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33203125" style="1" bestFit="1" customWidth="1"/>
    <col min="8467" max="8467" width="5.6640625" style="1" customWidth="1"/>
    <col min="8468" max="8468" width="9" style="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33203125" style="1" bestFit="1" customWidth="1"/>
    <col min="8723" max="8723" width="5.6640625" style="1" customWidth="1"/>
    <col min="8724" max="8724" width="9" style="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33203125" style="1" bestFit="1" customWidth="1"/>
    <col min="8979" max="8979" width="5.6640625" style="1" customWidth="1"/>
    <col min="8980" max="8980" width="9" style="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33203125" style="1" bestFit="1" customWidth="1"/>
    <col min="9235" max="9235" width="5.6640625" style="1" customWidth="1"/>
    <col min="9236" max="9236" width="9" style="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33203125" style="1" bestFit="1" customWidth="1"/>
    <col min="9491" max="9491" width="5.6640625" style="1" customWidth="1"/>
    <col min="9492" max="9492" width="9" style="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33203125" style="1" bestFit="1" customWidth="1"/>
    <col min="9747" max="9747" width="5.6640625" style="1" customWidth="1"/>
    <col min="9748" max="9748" width="9" style="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33203125" style="1" bestFit="1" customWidth="1"/>
    <col min="10003" max="10003" width="5.6640625" style="1" customWidth="1"/>
    <col min="10004" max="10004" width="9" style="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33203125" style="1" bestFit="1" customWidth="1"/>
    <col min="10259" max="10259" width="5.6640625" style="1" customWidth="1"/>
    <col min="10260" max="10260" width="9" style="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33203125" style="1" bestFit="1" customWidth="1"/>
    <col min="10515" max="10515" width="5.6640625" style="1" customWidth="1"/>
    <col min="10516" max="10516" width="9" style="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33203125" style="1" bestFit="1" customWidth="1"/>
    <col min="10771" max="10771" width="5.6640625" style="1" customWidth="1"/>
    <col min="10772" max="10772" width="9" style="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33203125" style="1" bestFit="1" customWidth="1"/>
    <col min="11027" max="11027" width="5.6640625" style="1" customWidth="1"/>
    <col min="11028" max="11028" width="9" style="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33203125" style="1" bestFit="1" customWidth="1"/>
    <col min="11283" max="11283" width="5.6640625" style="1" customWidth="1"/>
    <col min="11284" max="11284" width="9" style="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33203125" style="1" bestFit="1" customWidth="1"/>
    <col min="11539" max="11539" width="5.6640625" style="1" customWidth="1"/>
    <col min="11540" max="11540" width="9" style="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33203125" style="1" bestFit="1" customWidth="1"/>
    <col min="11795" max="11795" width="5.6640625" style="1" customWidth="1"/>
    <col min="11796" max="11796" width="9" style="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33203125" style="1" bestFit="1" customWidth="1"/>
    <col min="12051" max="12051" width="5.6640625" style="1" customWidth="1"/>
    <col min="12052" max="12052" width="9" style="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33203125" style="1" bestFit="1" customWidth="1"/>
    <col min="12307" max="12307" width="5.6640625" style="1" customWidth="1"/>
    <col min="12308" max="12308" width="9" style="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33203125" style="1" bestFit="1" customWidth="1"/>
    <col min="12563" max="12563" width="5.6640625" style="1" customWidth="1"/>
    <col min="12564" max="12564" width="9" style="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33203125" style="1" bestFit="1" customWidth="1"/>
    <col min="12819" max="12819" width="5.6640625" style="1" customWidth="1"/>
    <col min="12820" max="12820" width="9" style="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33203125" style="1" bestFit="1" customWidth="1"/>
    <col min="13075" max="13075" width="5.6640625" style="1" customWidth="1"/>
    <col min="13076" max="13076" width="9" style="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33203125" style="1" bestFit="1" customWidth="1"/>
    <col min="13331" max="13331" width="5.6640625" style="1" customWidth="1"/>
    <col min="13332" max="13332" width="9" style="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33203125" style="1" bestFit="1" customWidth="1"/>
    <col min="13587" max="13587" width="5.6640625" style="1" customWidth="1"/>
    <col min="13588" max="13588" width="9" style="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33203125" style="1" bestFit="1" customWidth="1"/>
    <col min="13843" max="13843" width="5.6640625" style="1" customWidth="1"/>
    <col min="13844" max="13844" width="9" style="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33203125" style="1" bestFit="1" customWidth="1"/>
    <col min="14099" max="14099" width="5.6640625" style="1" customWidth="1"/>
    <col min="14100" max="14100" width="9" style="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33203125" style="1" bestFit="1" customWidth="1"/>
    <col min="14355" max="14355" width="5.6640625" style="1" customWidth="1"/>
    <col min="14356" max="14356" width="9" style="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33203125" style="1" bestFit="1" customWidth="1"/>
    <col min="14611" max="14611" width="5.6640625" style="1" customWidth="1"/>
    <col min="14612" max="14612" width="9" style="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33203125" style="1" bestFit="1" customWidth="1"/>
    <col min="14867" max="14867" width="5.6640625" style="1" customWidth="1"/>
    <col min="14868" max="14868" width="9" style="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33203125" style="1" bestFit="1" customWidth="1"/>
    <col min="15123" max="15123" width="5.6640625" style="1" customWidth="1"/>
    <col min="15124" max="15124" width="9" style="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33203125" style="1" bestFit="1" customWidth="1"/>
    <col min="15379" max="15379" width="5.6640625" style="1" customWidth="1"/>
    <col min="15380" max="15380" width="9" style="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33203125" style="1" bestFit="1" customWidth="1"/>
    <col min="15635" max="15635" width="5.6640625" style="1" customWidth="1"/>
    <col min="15636" max="15636" width="9" style="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33203125" style="1" bestFit="1" customWidth="1"/>
    <col min="15891" max="15891" width="5.6640625" style="1" customWidth="1"/>
    <col min="15892" max="15892" width="9" style="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33203125" style="1" bestFit="1" customWidth="1"/>
    <col min="16147" max="16147" width="5.6640625" style="1" customWidth="1"/>
    <col min="16148" max="16148" width="9" style="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569"/>
      <c r="N1" s="570"/>
      <c r="O1" s="570"/>
      <c r="P1" s="570"/>
      <c r="Q1" s="570"/>
      <c r="R1" s="570"/>
      <c r="S1" s="238"/>
      <c r="T1" s="186"/>
      <c r="U1" s="186"/>
      <c r="V1" s="186"/>
      <c r="W1" s="186"/>
      <c r="X1" s="186"/>
      <c r="Y1" s="186"/>
      <c r="Z1" s="186"/>
      <c r="AA1" s="186"/>
      <c r="AB1" s="186"/>
      <c r="AC1" s="186"/>
    </row>
    <row r="2" spans="1:29" ht="13.5" customHeight="1" x14ac:dyDescent="0.2">
      <c r="A2" s="446"/>
      <c r="B2" s="549" t="s">
        <v>501</v>
      </c>
      <c r="C2" s="549"/>
      <c r="D2" s="549"/>
      <c r="E2" s="549"/>
      <c r="F2" s="549"/>
      <c r="G2" s="549"/>
      <c r="H2" s="549"/>
      <c r="I2" s="549"/>
      <c r="J2" s="549"/>
      <c r="K2" s="549"/>
      <c r="L2" s="549"/>
      <c r="M2" s="549"/>
      <c r="N2" s="549"/>
      <c r="O2" s="549"/>
      <c r="P2" s="549"/>
      <c r="Q2" s="549"/>
      <c r="R2" s="549"/>
      <c r="S2" s="187"/>
      <c r="T2" s="268"/>
      <c r="U2" s="186"/>
      <c r="V2" s="186"/>
      <c r="W2" s="186"/>
      <c r="X2" s="186"/>
      <c r="Y2" s="186"/>
      <c r="Z2" s="186"/>
      <c r="AA2" s="186"/>
      <c r="AB2" s="186"/>
      <c r="AC2" s="186"/>
    </row>
    <row r="3" spans="1:29" ht="13.5" customHeight="1" x14ac:dyDescent="0.2">
      <c r="A3" s="446"/>
      <c r="B3" s="187"/>
      <c r="C3" s="561" t="s">
        <v>324</v>
      </c>
      <c r="D3" s="561"/>
      <c r="E3" s="561"/>
      <c r="F3" s="561"/>
      <c r="G3" s="561"/>
      <c r="H3" s="561"/>
      <c r="I3" s="561"/>
      <c r="J3" s="561"/>
      <c r="K3" s="561"/>
      <c r="L3" s="561"/>
      <c r="M3" s="561"/>
      <c r="N3" s="561"/>
      <c r="O3" s="561"/>
      <c r="P3" s="561"/>
      <c r="Q3" s="561"/>
      <c r="R3" s="561"/>
      <c r="S3" s="561"/>
      <c r="T3" s="268"/>
      <c r="U3" s="186"/>
      <c r="V3" s="186"/>
      <c r="W3" s="186"/>
      <c r="X3" s="186"/>
      <c r="Y3" s="186"/>
      <c r="Z3" s="186"/>
      <c r="AA3" s="186"/>
      <c r="AB3" s="186"/>
      <c r="AC3" s="186"/>
    </row>
    <row r="4" spans="1:29" ht="13.5" customHeight="1" x14ac:dyDescent="0.2">
      <c r="A4" s="243" t="s">
        <v>1</v>
      </c>
      <c r="B4" s="186"/>
      <c r="C4" s="522" t="s">
        <v>478</v>
      </c>
      <c r="D4" s="522"/>
      <c r="E4" s="522"/>
      <c r="F4" s="522"/>
      <c r="G4" s="522"/>
      <c r="H4" s="522"/>
      <c r="I4" s="522"/>
      <c r="J4" s="522"/>
      <c r="K4" s="522"/>
      <c r="L4" s="522"/>
      <c r="M4" s="522"/>
      <c r="N4" s="522"/>
      <c r="O4" s="522"/>
      <c r="P4" s="522"/>
      <c r="Q4" s="522"/>
      <c r="R4" s="522"/>
      <c r="S4" s="522"/>
      <c r="T4" s="268"/>
      <c r="U4" s="186"/>
      <c r="V4" s="186"/>
      <c r="W4" s="186"/>
      <c r="X4" s="186"/>
      <c r="Y4" s="186"/>
      <c r="Z4" s="186"/>
      <c r="AA4" s="186"/>
      <c r="AB4" s="186" t="s">
        <v>319</v>
      </c>
      <c r="AC4" s="186"/>
    </row>
    <row r="5" spans="1:29" ht="13.5" customHeight="1" x14ac:dyDescent="0.2">
      <c r="A5" s="243"/>
      <c r="B5" s="186"/>
      <c r="C5" s="186"/>
      <c r="D5" s="188" t="s">
        <v>259</v>
      </c>
      <c r="E5" s="186"/>
      <c r="F5" s="186"/>
      <c r="G5" s="186"/>
      <c r="H5" s="189" t="str">
        <f>HYPERLINK("#手引き!B46","手引きへ戻る")</f>
        <v>手引きへ戻る</v>
      </c>
      <c r="I5" s="186"/>
      <c r="J5" s="186"/>
      <c r="K5" s="186"/>
      <c r="L5" s="186"/>
      <c r="M5" s="186"/>
      <c r="N5" s="186"/>
      <c r="O5" s="186"/>
      <c r="P5" s="186"/>
      <c r="Q5" s="186"/>
      <c r="R5" s="186"/>
      <c r="S5" s="186"/>
      <c r="T5" s="186"/>
      <c r="U5" s="186" t="s">
        <v>317</v>
      </c>
      <c r="V5" s="186"/>
      <c r="W5" s="239"/>
      <c r="X5" s="186"/>
      <c r="Y5" s="186"/>
      <c r="Z5" s="186"/>
      <c r="AA5" s="186"/>
      <c r="AB5" s="186" t="s">
        <v>429</v>
      </c>
      <c r="AC5" s="186" t="s">
        <v>430</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71"/>
      <c r="C7" s="573" t="s">
        <v>3</v>
      </c>
      <c r="D7" s="573"/>
      <c r="E7" s="573"/>
      <c r="F7" s="573"/>
      <c r="G7" s="573"/>
      <c r="H7" s="574"/>
      <c r="I7" s="575" t="s">
        <v>4</v>
      </c>
      <c r="J7" s="576"/>
      <c r="K7" s="576"/>
      <c r="L7" s="576"/>
      <c r="M7" s="576"/>
      <c r="N7" s="577"/>
      <c r="O7" s="186"/>
      <c r="P7" s="586"/>
      <c r="Q7" s="588" t="s">
        <v>5</v>
      </c>
      <c r="R7" s="589"/>
      <c r="S7" s="192"/>
      <c r="T7" s="186"/>
      <c r="U7" s="550"/>
      <c r="V7" s="552" t="s">
        <v>5</v>
      </c>
      <c r="W7" s="560"/>
      <c r="X7" s="550"/>
      <c r="Y7" s="552" t="s">
        <v>5</v>
      </c>
      <c r="Z7" s="560"/>
      <c r="AA7" s="186"/>
      <c r="AB7" s="191"/>
      <c r="AC7" s="191" t="str">
        <f>HLOOKUP($AC$5,名前2!$C:$J,3,0)</f>
        <v>「普通自動車」という。）又は小型自動車（以下「小型</v>
      </c>
    </row>
    <row r="8" spans="1:29" ht="30" customHeight="1" thickBot="1" x14ac:dyDescent="0.25">
      <c r="A8" s="447" t="str">
        <f>IF(COUNTIF(A9:A16,"○")=0,"無","")</f>
        <v>無</v>
      </c>
      <c r="B8" s="572"/>
      <c r="C8" s="581" t="s">
        <v>27</v>
      </c>
      <c r="D8" s="582"/>
      <c r="E8" s="583" t="s">
        <v>6</v>
      </c>
      <c r="F8" s="584"/>
      <c r="G8" s="584"/>
      <c r="H8" s="585"/>
      <c r="I8" s="578"/>
      <c r="J8" s="579"/>
      <c r="K8" s="579"/>
      <c r="L8" s="579"/>
      <c r="M8" s="579"/>
      <c r="N8" s="580"/>
      <c r="O8" s="193" t="str">
        <f>IF(COUNTIF(O9:O16,"○")=0,"無","")</f>
        <v>無</v>
      </c>
      <c r="P8" s="587"/>
      <c r="Q8" s="547">
        <v>30</v>
      </c>
      <c r="R8" s="548"/>
      <c r="S8" s="194"/>
      <c r="T8" s="186"/>
      <c r="U8" s="551"/>
      <c r="V8" s="547">
        <v>15</v>
      </c>
      <c r="W8" s="548"/>
      <c r="X8" s="551"/>
      <c r="Y8" s="547">
        <v>10</v>
      </c>
      <c r="Z8" s="548"/>
      <c r="AA8" s="186"/>
      <c r="AB8" s="191"/>
      <c r="AC8" s="191" t="str">
        <f>HLOOKUP($AC$5,名前2!$C:$J,4,0)</f>
        <v>自動車」という。）のうち乗車定員が７名以上のもの。</v>
      </c>
    </row>
    <row r="9" spans="1:29" ht="16.5" customHeight="1" thickTop="1" x14ac:dyDescent="0.2">
      <c r="A9" s="448"/>
      <c r="B9" s="414" t="s">
        <v>8</v>
      </c>
      <c r="C9" s="415">
        <v>750</v>
      </c>
      <c r="D9" s="416" t="s">
        <v>9</v>
      </c>
      <c r="E9" s="417">
        <v>175</v>
      </c>
      <c r="F9" s="418" t="s">
        <v>10</v>
      </c>
      <c r="G9" s="415">
        <v>100</v>
      </c>
      <c r="H9" s="416" t="s">
        <v>9</v>
      </c>
      <c r="I9" s="419">
        <f t="shared" ref="I9:I14" si="0">TRUNC(CEILING(ROUNDUP(E9*0.36,0),5)/60,0)</f>
        <v>1</v>
      </c>
      <c r="J9" s="420" t="s">
        <v>11</v>
      </c>
      <c r="K9" s="421">
        <f t="shared" ref="K9:K14" si="1">TRUNC(CEILING(ROUNDUP(E9*0.36,0),5)-I9*60,0)</f>
        <v>5</v>
      </c>
      <c r="L9" s="422" t="s">
        <v>12</v>
      </c>
      <c r="M9" s="415">
        <v>100</v>
      </c>
      <c r="N9" s="423" t="s">
        <v>9</v>
      </c>
      <c r="O9" s="185"/>
      <c r="P9" s="414" t="s">
        <v>8</v>
      </c>
      <c r="Q9" s="441">
        <v>3800</v>
      </c>
      <c r="R9" s="423" t="s">
        <v>9</v>
      </c>
      <c r="S9" s="208"/>
      <c r="T9" s="186"/>
      <c r="U9" s="195" t="str">
        <f>P9</f>
        <v>上限運賃</v>
      </c>
      <c r="V9" s="207">
        <f>ROUNDDOWN($Q9*$V$8/$Q$8,-1)</f>
        <v>1900</v>
      </c>
      <c r="W9" s="209" t="s">
        <v>9</v>
      </c>
      <c r="X9" s="195" t="str">
        <f>P9</f>
        <v>上限運賃</v>
      </c>
      <c r="Y9" s="207">
        <f>ROUNDDOWN($Q9*$Y$8/$Q$8,-1)</f>
        <v>1260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424" t="s">
        <v>488</v>
      </c>
      <c r="C10" s="425">
        <f t="shared" ref="C10:C16" si="2">C9-10</f>
        <v>740</v>
      </c>
      <c r="D10" s="426" t="s">
        <v>9</v>
      </c>
      <c r="E10" s="427">
        <f>ROUND(E$9/(C10/C$9),0)</f>
        <v>177</v>
      </c>
      <c r="F10" s="425" t="s">
        <v>10</v>
      </c>
      <c r="G10" s="425">
        <v>100</v>
      </c>
      <c r="H10" s="426" t="s">
        <v>9</v>
      </c>
      <c r="I10" s="419">
        <f t="shared" si="0"/>
        <v>1</v>
      </c>
      <c r="J10" s="420" t="s">
        <v>11</v>
      </c>
      <c r="K10" s="421">
        <f t="shared" si="1"/>
        <v>5</v>
      </c>
      <c r="L10" s="422" t="s">
        <v>12</v>
      </c>
      <c r="M10" s="425">
        <v>100</v>
      </c>
      <c r="N10" s="428" t="s">
        <v>9</v>
      </c>
      <c r="O10" s="185"/>
      <c r="P10" s="424" t="s">
        <v>13</v>
      </c>
      <c r="Q10" s="427">
        <f>ROUNDUP((C10/C$9)*Q$9,-1)</f>
        <v>3750</v>
      </c>
      <c r="R10" s="428" t="s">
        <v>9</v>
      </c>
      <c r="S10" s="208"/>
      <c r="T10" s="186"/>
      <c r="U10" s="413" t="str">
        <f t="shared" ref="U10:U11" si="3">P10</f>
        <v>Ｂ運賃</v>
      </c>
      <c r="V10" s="234">
        <f t="shared" ref="V10:V16" si="4">ROUNDDOWN($Q10*$V$8/$Q$8,-1)</f>
        <v>1870</v>
      </c>
      <c r="W10" s="232" t="s">
        <v>9</v>
      </c>
      <c r="X10" s="413" t="str">
        <f t="shared" ref="X10:X11" si="5">P10</f>
        <v>Ｂ運賃</v>
      </c>
      <c r="Y10" s="234">
        <f t="shared" ref="Y10:Y16" si="6">ROUNDDOWN($Q10*$Y$8/$Q$8,-1)</f>
        <v>1250</v>
      </c>
      <c r="Z10" s="232" t="s">
        <v>9</v>
      </c>
      <c r="AA10" s="186"/>
      <c r="AB10" s="191"/>
      <c r="AC10" s="191" t="str">
        <f>HLOOKUP($AC$5,名前2!$C:$J,6,0)</f>
        <v>動車にあっては２．５リットル。）を超えるもので</v>
      </c>
    </row>
    <row r="11" spans="1:29" ht="16.5" customHeight="1" x14ac:dyDescent="0.2">
      <c r="A11" s="448"/>
      <c r="B11" s="424" t="s">
        <v>31</v>
      </c>
      <c r="C11" s="429">
        <f t="shared" si="2"/>
        <v>730</v>
      </c>
      <c r="D11" s="430" t="s">
        <v>9</v>
      </c>
      <c r="E11" s="427">
        <f>ROUND(E$9/(C11/C$9),0)</f>
        <v>180</v>
      </c>
      <c r="F11" s="429" t="s">
        <v>10</v>
      </c>
      <c r="G11" s="429">
        <v>100</v>
      </c>
      <c r="H11" s="430" t="s">
        <v>9</v>
      </c>
      <c r="I11" s="419">
        <f t="shared" si="0"/>
        <v>1</v>
      </c>
      <c r="J11" s="420" t="s">
        <v>11</v>
      </c>
      <c r="K11" s="421">
        <f t="shared" si="1"/>
        <v>5</v>
      </c>
      <c r="L11" s="422" t="s">
        <v>12</v>
      </c>
      <c r="M11" s="429">
        <v>100</v>
      </c>
      <c r="N11" s="431" t="s">
        <v>9</v>
      </c>
      <c r="O11" s="185"/>
      <c r="P11" s="424" t="s">
        <v>31</v>
      </c>
      <c r="Q11" s="427">
        <f>ROUNDUP((C11/C$9)*Q$9,-1)</f>
        <v>3700</v>
      </c>
      <c r="R11" s="428" t="s">
        <v>9</v>
      </c>
      <c r="S11" s="208"/>
      <c r="T11" s="186"/>
      <c r="U11" s="413" t="str">
        <f t="shared" si="3"/>
        <v>Ｃ運賃</v>
      </c>
      <c r="V11" s="234">
        <f t="shared" si="4"/>
        <v>1850</v>
      </c>
      <c r="W11" s="232" t="s">
        <v>9</v>
      </c>
      <c r="X11" s="413" t="str">
        <f t="shared" si="5"/>
        <v>Ｃ運賃</v>
      </c>
      <c r="Y11" s="234">
        <f t="shared" si="6"/>
        <v>1230</v>
      </c>
      <c r="Z11" s="232" t="s">
        <v>9</v>
      </c>
      <c r="AA11" s="186"/>
      <c r="AB11" s="191"/>
      <c r="AC11" s="191" t="str">
        <f>HLOOKUP($AC$5,名前2!$C:$J,7,0)</f>
        <v>あって乗車定員が６名以下のもの。</v>
      </c>
    </row>
    <row r="12" spans="1:29" ht="16.5" customHeight="1" x14ac:dyDescent="0.2">
      <c r="A12" s="448"/>
      <c r="B12" s="424" t="s">
        <v>32</v>
      </c>
      <c r="C12" s="429">
        <f t="shared" si="2"/>
        <v>720</v>
      </c>
      <c r="D12" s="430" t="s">
        <v>9</v>
      </c>
      <c r="E12" s="427">
        <f>E21</f>
        <v>190</v>
      </c>
      <c r="F12" s="429" t="s">
        <v>10</v>
      </c>
      <c r="G12" s="429">
        <v>100</v>
      </c>
      <c r="H12" s="430" t="s">
        <v>9</v>
      </c>
      <c r="I12" s="419">
        <f t="shared" si="0"/>
        <v>1</v>
      </c>
      <c r="J12" s="420" t="s">
        <v>11</v>
      </c>
      <c r="K12" s="421">
        <f t="shared" si="1"/>
        <v>10</v>
      </c>
      <c r="L12" s="422" t="s">
        <v>12</v>
      </c>
      <c r="M12" s="429">
        <v>100</v>
      </c>
      <c r="N12" s="431" t="s">
        <v>9</v>
      </c>
      <c r="O12" s="185"/>
      <c r="P12" s="424" t="s">
        <v>32</v>
      </c>
      <c r="Q12" s="427">
        <f>Q21</f>
        <v>3400</v>
      </c>
      <c r="R12" s="428" t="s">
        <v>9</v>
      </c>
      <c r="S12" s="208"/>
      <c r="T12" s="208"/>
      <c r="U12" s="413" t="str">
        <f t="shared" ref="U12:U16" si="7">P12</f>
        <v>Ｄ運賃</v>
      </c>
      <c r="V12" s="234">
        <f t="shared" si="4"/>
        <v>1700</v>
      </c>
      <c r="W12" s="232" t="s">
        <v>9</v>
      </c>
      <c r="X12" s="413" t="str">
        <f t="shared" ref="X12:X16" si="8">P12</f>
        <v>Ｄ運賃</v>
      </c>
      <c r="Y12" s="234">
        <f t="shared" si="6"/>
        <v>1130</v>
      </c>
      <c r="Z12" s="232" t="s">
        <v>9</v>
      </c>
      <c r="AA12" s="186"/>
      <c r="AB12" s="191" t="str">
        <f>HLOOKUP($AB$5,名前2!$C:$J,8,0)</f>
        <v>普　通　車</v>
      </c>
      <c r="AC12" s="191" t="str">
        <f>HLOOKUP($AC$5,名前2!$C:$J,8,0)</f>
        <v>以下のいずれかに該当する自動車。</v>
      </c>
    </row>
    <row r="13" spans="1:29" ht="16.5" customHeight="1" x14ac:dyDescent="0.2">
      <c r="A13" s="448"/>
      <c r="B13" s="424" t="s">
        <v>38</v>
      </c>
      <c r="C13" s="429">
        <f t="shared" si="2"/>
        <v>710</v>
      </c>
      <c r="D13" s="430" t="s">
        <v>9</v>
      </c>
      <c r="E13" s="427">
        <f>E22</f>
        <v>193</v>
      </c>
      <c r="F13" s="429" t="s">
        <v>10</v>
      </c>
      <c r="G13" s="429">
        <v>100</v>
      </c>
      <c r="H13" s="430" t="s">
        <v>9</v>
      </c>
      <c r="I13" s="419">
        <f t="shared" si="0"/>
        <v>1</v>
      </c>
      <c r="J13" s="420" t="s">
        <v>11</v>
      </c>
      <c r="K13" s="421">
        <f t="shared" si="1"/>
        <v>10</v>
      </c>
      <c r="L13" s="422" t="s">
        <v>12</v>
      </c>
      <c r="M13" s="429">
        <v>100</v>
      </c>
      <c r="N13" s="431" t="s">
        <v>9</v>
      </c>
      <c r="O13" s="185"/>
      <c r="P13" s="424" t="s">
        <v>38</v>
      </c>
      <c r="Q13" s="427">
        <f>Q22</f>
        <v>3360</v>
      </c>
      <c r="R13" s="428" t="s">
        <v>9</v>
      </c>
      <c r="S13" s="208"/>
      <c r="T13" s="208"/>
      <c r="U13" s="413" t="str">
        <f t="shared" si="7"/>
        <v>Ｅ運賃</v>
      </c>
      <c r="V13" s="234">
        <f t="shared" si="4"/>
        <v>1680</v>
      </c>
      <c r="W13" s="232" t="s">
        <v>9</v>
      </c>
      <c r="X13" s="413" t="str">
        <f t="shared" si="8"/>
        <v>Ｅ運賃</v>
      </c>
      <c r="Y13" s="234">
        <f t="shared" si="6"/>
        <v>1120</v>
      </c>
      <c r="Z13" s="232" t="s">
        <v>9</v>
      </c>
      <c r="AA13" s="186"/>
      <c r="AB13" s="191"/>
      <c r="AC13" s="191" t="str">
        <f>HLOOKUP($AC$5,名前2!$C:$J,10,0)</f>
        <v>車に該当する自動車以外のもの。</v>
      </c>
    </row>
    <row r="14" spans="1:29" ht="16.5" customHeight="1" x14ac:dyDescent="0.2">
      <c r="A14" s="448"/>
      <c r="B14" s="424" t="s">
        <v>37</v>
      </c>
      <c r="C14" s="429">
        <f t="shared" si="2"/>
        <v>700</v>
      </c>
      <c r="D14" s="430" t="s">
        <v>9</v>
      </c>
      <c r="E14" s="427">
        <f>E23</f>
        <v>225</v>
      </c>
      <c r="F14" s="429" t="s">
        <v>10</v>
      </c>
      <c r="G14" s="429">
        <v>100</v>
      </c>
      <c r="H14" s="430" t="s">
        <v>9</v>
      </c>
      <c r="I14" s="419">
        <f t="shared" si="0"/>
        <v>1</v>
      </c>
      <c r="J14" s="420" t="s">
        <v>11</v>
      </c>
      <c r="K14" s="421">
        <f t="shared" si="1"/>
        <v>25</v>
      </c>
      <c r="L14" s="422" t="s">
        <v>12</v>
      </c>
      <c r="M14" s="429">
        <v>100</v>
      </c>
      <c r="N14" s="431" t="s">
        <v>9</v>
      </c>
      <c r="O14" s="185"/>
      <c r="P14" s="424" t="s">
        <v>37</v>
      </c>
      <c r="Q14" s="427">
        <f>Q23</f>
        <v>3000</v>
      </c>
      <c r="R14" s="428" t="s">
        <v>9</v>
      </c>
      <c r="S14" s="186"/>
      <c r="T14" s="186"/>
      <c r="U14" s="413" t="str">
        <f t="shared" si="7"/>
        <v>Ｆ運賃</v>
      </c>
      <c r="V14" s="234">
        <f t="shared" si="4"/>
        <v>1500</v>
      </c>
      <c r="W14" s="232" t="s">
        <v>9</v>
      </c>
      <c r="X14" s="413" t="str">
        <f t="shared" si="8"/>
        <v>Ｆ運賃</v>
      </c>
      <c r="Y14" s="234">
        <f t="shared" si="6"/>
        <v>1000</v>
      </c>
      <c r="Z14" s="232" t="s">
        <v>9</v>
      </c>
      <c r="AA14" s="186"/>
      <c r="AB14" s="191"/>
      <c r="AC14" s="191" t="str">
        <f>HLOOKUP($AC$5,名前2!$C:$J,11,0)</f>
        <v>二　道路運送車両法施行規則第２条に定める軽自動車（</v>
      </c>
    </row>
    <row r="15" spans="1:29" ht="16.5" customHeight="1" x14ac:dyDescent="0.2">
      <c r="A15" s="448"/>
      <c r="B15" s="424" t="s">
        <v>380</v>
      </c>
      <c r="C15" s="429">
        <f t="shared" si="2"/>
        <v>690</v>
      </c>
      <c r="D15" s="430" t="s">
        <v>9</v>
      </c>
      <c r="E15" s="427">
        <f>E24</f>
        <v>228</v>
      </c>
      <c r="F15" s="429" t="s">
        <v>10</v>
      </c>
      <c r="G15" s="429">
        <v>100</v>
      </c>
      <c r="H15" s="430" t="s">
        <v>9</v>
      </c>
      <c r="I15" s="419">
        <f>TRUNC(CEILING(ROUNDUP(E15*0.36,0),5)/60,0)</f>
        <v>1</v>
      </c>
      <c r="J15" s="420" t="s">
        <v>11</v>
      </c>
      <c r="K15" s="421">
        <f>TRUNC(CEILING(ROUNDUP(E15*0.36,0),5)-I15*60,0)</f>
        <v>25</v>
      </c>
      <c r="L15" s="422" t="s">
        <v>12</v>
      </c>
      <c r="M15" s="429">
        <v>100</v>
      </c>
      <c r="N15" s="431" t="s">
        <v>9</v>
      </c>
      <c r="O15" s="185"/>
      <c r="P15" s="424" t="s">
        <v>380</v>
      </c>
      <c r="Q15" s="427">
        <f>Q24</f>
        <v>2960</v>
      </c>
      <c r="R15" s="428" t="s">
        <v>9</v>
      </c>
      <c r="S15" s="186"/>
      <c r="T15" s="186"/>
      <c r="U15" s="413" t="str">
        <f t="shared" si="7"/>
        <v>Ｇ運賃</v>
      </c>
      <c r="V15" s="234">
        <f t="shared" si="4"/>
        <v>1480</v>
      </c>
      <c r="W15" s="232" t="s">
        <v>9</v>
      </c>
      <c r="X15" s="413" t="str">
        <f t="shared" si="8"/>
        <v>Ｇ運賃</v>
      </c>
      <c r="Y15" s="234">
        <f t="shared" si="6"/>
        <v>980</v>
      </c>
      <c r="Z15" s="232" t="s">
        <v>9</v>
      </c>
      <c r="AA15" s="186"/>
      <c r="AB15" s="191"/>
      <c r="AC15" s="191" t="str">
        <f>HLOOKUP($AC$5,名前2!$C:$J,12,0)</f>
        <v>以下「軽自動車」という。）のうち、内燃機関を搭載し</v>
      </c>
    </row>
    <row r="16" spans="1:29" ht="16.5" customHeight="1" thickBot="1" x14ac:dyDescent="0.25">
      <c r="A16" s="448"/>
      <c r="B16" s="432" t="s">
        <v>39</v>
      </c>
      <c r="C16" s="433">
        <f t="shared" si="2"/>
        <v>680</v>
      </c>
      <c r="D16" s="434" t="s">
        <v>9</v>
      </c>
      <c r="E16" s="435">
        <f>E25</f>
        <v>232</v>
      </c>
      <c r="F16" s="433" t="s">
        <v>10</v>
      </c>
      <c r="G16" s="433">
        <v>100</v>
      </c>
      <c r="H16" s="434" t="s">
        <v>9</v>
      </c>
      <c r="I16" s="436">
        <f t="shared" ref="I16" si="9">TRUNC(CEILING(ROUNDUP(E16*0.36,0),5)/60,0)</f>
        <v>1</v>
      </c>
      <c r="J16" s="437" t="s">
        <v>11</v>
      </c>
      <c r="K16" s="438">
        <f t="shared" ref="K16" si="10">TRUNC(CEILING(ROUNDUP(E16*0.36,0),5)-I16*60,0)</f>
        <v>25</v>
      </c>
      <c r="L16" s="439" t="s">
        <v>12</v>
      </c>
      <c r="M16" s="433">
        <v>100</v>
      </c>
      <c r="N16" s="440" t="s">
        <v>9</v>
      </c>
      <c r="O16" s="185"/>
      <c r="P16" s="432" t="s">
        <v>39</v>
      </c>
      <c r="Q16" s="435">
        <f>Q25</f>
        <v>2920</v>
      </c>
      <c r="R16" s="440" t="s">
        <v>9</v>
      </c>
      <c r="S16" s="192"/>
      <c r="T16" s="186"/>
      <c r="U16" s="226" t="str">
        <f t="shared" si="7"/>
        <v>下限運賃</v>
      </c>
      <c r="V16" s="235">
        <f t="shared" si="4"/>
        <v>1460</v>
      </c>
      <c r="W16" s="218" t="s">
        <v>9</v>
      </c>
      <c r="X16" s="226" t="str">
        <f t="shared" si="8"/>
        <v>下限運賃</v>
      </c>
      <c r="Y16" s="235">
        <f t="shared" si="6"/>
        <v>970</v>
      </c>
      <c r="Z16" s="218" t="s">
        <v>9</v>
      </c>
      <c r="AA16" s="186"/>
      <c r="AB16" s="191"/>
      <c r="AC16" s="191" t="str">
        <f>HLOOKUP($AC$5,名前2!$C:$J,13,0)</f>
        <v>ないもの又は福祉輸送サービスの用に供するものに限る。</v>
      </c>
    </row>
    <row r="17" spans="1:29" ht="16.5" customHeight="1" x14ac:dyDescent="0.2">
      <c r="A17" s="243"/>
      <c r="B17"/>
      <c r="C17"/>
      <c r="D17"/>
      <c r="E17"/>
      <c r="F17"/>
      <c r="G17"/>
      <c r="H17"/>
      <c r="I17"/>
      <c r="J17"/>
      <c r="K17"/>
      <c r="L17"/>
      <c r="M17"/>
      <c r="N17"/>
      <c r="O17" s="186"/>
      <c r="P17"/>
      <c r="Q17"/>
      <c r="R17"/>
      <c r="S17" s="194"/>
      <c r="T17" s="186"/>
      <c r="U17" s="186"/>
      <c r="V17" s="186"/>
      <c r="W17" s="186"/>
      <c r="X17" s="186"/>
      <c r="Y17" s="186"/>
      <c r="Z17" s="186"/>
      <c r="AA17" s="186"/>
      <c r="AB17" s="191"/>
      <c r="AC17" s="191" t="str">
        <f>HLOOKUP($AC$5,名前2!$C:$J,14,0)</f>
        <v>ただし、「タクシー事業における軽自動車の活用について」</v>
      </c>
    </row>
    <row r="18" spans="1:29" ht="16.5" customHeight="1" thickBot="1" x14ac:dyDescent="0.25">
      <c r="A18" s="243" t="s">
        <v>19</v>
      </c>
      <c r="B18"/>
      <c r="C18"/>
      <c r="D18"/>
      <c r="E18"/>
      <c r="F18"/>
      <c r="G18"/>
      <c r="H18"/>
      <c r="I18"/>
      <c r="J18"/>
      <c r="K18"/>
      <c r="L18"/>
      <c r="M18"/>
      <c r="N18"/>
      <c r="O18" s="186"/>
      <c r="P18"/>
      <c r="Q18"/>
      <c r="R18"/>
      <c r="S18" s="208"/>
      <c r="T18" s="186"/>
      <c r="U18" s="186"/>
      <c r="V18" s="186"/>
      <c r="W18" s="186"/>
      <c r="X18" s="186"/>
      <c r="Y18" s="186"/>
      <c r="Z18" s="186"/>
      <c r="AA18" s="186"/>
      <c r="AB18" s="191"/>
      <c r="AC18" s="191" t="str">
        <f>HLOOKUP($AC$5,名前2!$C:$J,15,0)</f>
        <v>（令和８年６月１日付け国自旅第３７号）別紙１．に基</v>
      </c>
    </row>
    <row r="19" spans="1:29" ht="16.5" customHeight="1" x14ac:dyDescent="0.2">
      <c r="A19" s="243"/>
      <c r="B19" s="571"/>
      <c r="C19" s="573" t="s">
        <v>3</v>
      </c>
      <c r="D19" s="573"/>
      <c r="E19" s="573"/>
      <c r="F19" s="573"/>
      <c r="G19" s="573"/>
      <c r="H19" s="574"/>
      <c r="I19" s="575" t="s">
        <v>4</v>
      </c>
      <c r="J19" s="576"/>
      <c r="K19" s="576"/>
      <c r="L19" s="576"/>
      <c r="M19" s="576"/>
      <c r="N19" s="577"/>
      <c r="O19" s="186"/>
      <c r="P19" s="586"/>
      <c r="Q19" s="588" t="s">
        <v>5</v>
      </c>
      <c r="R19" s="589"/>
      <c r="S19" s="208"/>
      <c r="T19" s="186"/>
      <c r="U19" s="550"/>
      <c r="V19" s="552" t="s">
        <v>5</v>
      </c>
      <c r="W19" s="560"/>
      <c r="X19" s="550"/>
      <c r="Y19" s="552" t="s">
        <v>5</v>
      </c>
      <c r="Z19" s="560"/>
      <c r="AA19" s="186"/>
      <c r="AB19" s="191"/>
      <c r="AC19" s="191" t="str">
        <f>HLOOKUP($AC$5,名前2!$C:$J,16,0)</f>
        <v>づき近畿運輸局長が公示する地域においては、軽自動車と</v>
      </c>
    </row>
    <row r="20" spans="1:29" ht="30" customHeight="1" thickBot="1" x14ac:dyDescent="0.25">
      <c r="A20" s="447" t="str">
        <f>IF(COUNTIF(A21:A28,"○")=0,"無","")</f>
        <v>無</v>
      </c>
      <c r="B20" s="572"/>
      <c r="C20" s="581" t="s">
        <v>27</v>
      </c>
      <c r="D20" s="582"/>
      <c r="E20" s="583" t="s">
        <v>6</v>
      </c>
      <c r="F20" s="584"/>
      <c r="G20" s="584"/>
      <c r="H20" s="585"/>
      <c r="I20" s="578"/>
      <c r="J20" s="579"/>
      <c r="K20" s="579"/>
      <c r="L20" s="579"/>
      <c r="M20" s="579"/>
      <c r="N20" s="580"/>
      <c r="O20" s="193" t="str">
        <f>IF(COUNTIF(O21:O28,"○")=0,"無","")</f>
        <v>無</v>
      </c>
      <c r="P20" s="587"/>
      <c r="Q20" s="590" t="s">
        <v>487</v>
      </c>
      <c r="R20" s="591"/>
      <c r="S20" s="208"/>
      <c r="T20" s="208"/>
      <c r="U20" s="551"/>
      <c r="V20" s="547">
        <v>15</v>
      </c>
      <c r="W20" s="548"/>
      <c r="X20" s="551"/>
      <c r="Y20" s="547">
        <v>10</v>
      </c>
      <c r="Z20" s="548"/>
      <c r="AA20" s="186"/>
      <c r="AB20" s="191"/>
      <c r="AC20" s="191" t="str">
        <f>HLOOKUP($AC$5,名前2!$C:$J,17,0)</f>
        <v>する。</v>
      </c>
    </row>
    <row r="21" spans="1:29" ht="16.5" customHeight="1" thickTop="1" x14ac:dyDescent="0.2">
      <c r="A21" s="448"/>
      <c r="B21" s="414" t="s">
        <v>8</v>
      </c>
      <c r="C21" s="415">
        <v>720</v>
      </c>
      <c r="D21" s="416" t="s">
        <v>9</v>
      </c>
      <c r="E21" s="417">
        <v>190</v>
      </c>
      <c r="F21" s="418" t="s">
        <v>10</v>
      </c>
      <c r="G21" s="415">
        <v>100</v>
      </c>
      <c r="H21" s="416" t="s">
        <v>9</v>
      </c>
      <c r="I21" s="419">
        <f t="shared" ref="I21:I25" si="11">TRUNC(CEILING(ROUNDUP(E21*0.36,0),5)/60,0)</f>
        <v>1</v>
      </c>
      <c r="J21" s="420" t="s">
        <v>11</v>
      </c>
      <c r="K21" s="421">
        <f t="shared" ref="K21:K25" si="12">TRUNC(CEILING(ROUNDUP(E21*0.36,0),5)-I21*60,0)</f>
        <v>10</v>
      </c>
      <c r="L21" s="422" t="s">
        <v>12</v>
      </c>
      <c r="M21" s="415">
        <v>100</v>
      </c>
      <c r="N21" s="423" t="s">
        <v>9</v>
      </c>
      <c r="O21" s="185"/>
      <c r="P21" s="414" t="s">
        <v>8</v>
      </c>
      <c r="Q21" s="441">
        <v>3400</v>
      </c>
      <c r="R21" s="423" t="s">
        <v>9</v>
      </c>
      <c r="S21" s="208"/>
      <c r="T21" s="208"/>
      <c r="U21" s="195" t="str">
        <f>P21</f>
        <v>上限運賃</v>
      </c>
      <c r="V21" s="207">
        <f>ROUNDDOWN($Q21*$V$8/$Q$8,-1)</f>
        <v>1700</v>
      </c>
      <c r="W21" s="209" t="s">
        <v>9</v>
      </c>
      <c r="X21" s="195" t="str">
        <f>P21</f>
        <v>上限運賃</v>
      </c>
      <c r="Y21" s="207">
        <f>ROUNDDOWN($Q21*$Y$8/$Q$8,-1)</f>
        <v>1130</v>
      </c>
      <c r="Z21" s="209" t="s">
        <v>9</v>
      </c>
      <c r="AA21" s="186"/>
      <c r="AB21" s="191" t="str">
        <f>HLOOKUP($AB$5,名前2!$C:$J,18,0)</f>
        <v>備　　　考　</v>
      </c>
      <c r="AC21" s="191" t="str">
        <f>HLOOKUP($AC$5,名前2!$C:$J,18,0)</f>
        <v>１　自動車検査証に記載されている諸元を基準とする。</v>
      </c>
    </row>
    <row r="22" spans="1:29" ht="16.5" customHeight="1" x14ac:dyDescent="0.2">
      <c r="A22" s="448"/>
      <c r="B22" s="424" t="s">
        <v>13</v>
      </c>
      <c r="C22" s="425">
        <f t="shared" ref="C22:C28" si="13">C21-10</f>
        <v>710</v>
      </c>
      <c r="D22" s="426" t="s">
        <v>9</v>
      </c>
      <c r="E22" s="427">
        <f>ROUND(E$21/(C22/C$21),0)</f>
        <v>193</v>
      </c>
      <c r="F22" s="425" t="s">
        <v>10</v>
      </c>
      <c r="G22" s="425">
        <v>100</v>
      </c>
      <c r="H22" s="426" t="s">
        <v>9</v>
      </c>
      <c r="I22" s="419">
        <f t="shared" si="11"/>
        <v>1</v>
      </c>
      <c r="J22" s="420" t="s">
        <v>11</v>
      </c>
      <c r="K22" s="421">
        <f t="shared" si="12"/>
        <v>10</v>
      </c>
      <c r="L22" s="422" t="s">
        <v>12</v>
      </c>
      <c r="M22" s="425">
        <v>100</v>
      </c>
      <c r="N22" s="428" t="s">
        <v>9</v>
      </c>
      <c r="O22" s="185"/>
      <c r="P22" s="424" t="s">
        <v>13</v>
      </c>
      <c r="Q22" s="427">
        <f>ROUNDUP((C22/C$21)*Q$21,-1)</f>
        <v>3360</v>
      </c>
      <c r="R22" s="428" t="s">
        <v>9</v>
      </c>
      <c r="S22" s="208"/>
      <c r="T22" s="208"/>
      <c r="U22" s="413" t="str">
        <f t="shared" ref="U22" si="14">P22</f>
        <v>Ｂ運賃</v>
      </c>
      <c r="V22" s="234">
        <f t="shared" ref="V22:V28" si="15">ROUNDDOWN($Q22*$V$8/$Q$8,-1)</f>
        <v>1680</v>
      </c>
      <c r="W22" s="232" t="s">
        <v>9</v>
      </c>
      <c r="X22" s="413" t="str">
        <f t="shared" ref="X22" si="16">P22</f>
        <v>Ｂ運賃</v>
      </c>
      <c r="Y22" s="234">
        <f t="shared" ref="Y22:Y28" si="17">ROUNDDOWN($Q22*$Y$8/$Q$8,-1)</f>
        <v>1120</v>
      </c>
      <c r="Z22" s="232" t="s">
        <v>9</v>
      </c>
      <c r="AA22" s="186"/>
      <c r="AB22" s="191" t="str">
        <f>IF(HLOOKUP($AB$5,名前2!$C:$J,20,0)=0,"",HLOOKUP($AB$5,名前2!C:J,20,0))</f>
        <v/>
      </c>
      <c r="AC22" s="191" t="str">
        <f>HLOOKUP($AC$5,名前2!$C:$J,20,0)</f>
        <v>者輸送車である特種自動車については、上記の車種区分に</v>
      </c>
    </row>
    <row r="23" spans="1:29" ht="16.5" customHeight="1" x14ac:dyDescent="0.2">
      <c r="A23" s="448"/>
      <c r="B23" s="424" t="s">
        <v>31</v>
      </c>
      <c r="C23" s="425">
        <f t="shared" si="13"/>
        <v>700</v>
      </c>
      <c r="D23" s="426" t="s">
        <v>9</v>
      </c>
      <c r="E23" s="427">
        <f>E33</f>
        <v>225</v>
      </c>
      <c r="F23" s="425" t="s">
        <v>10</v>
      </c>
      <c r="G23" s="425">
        <v>100</v>
      </c>
      <c r="H23" s="426" t="s">
        <v>9</v>
      </c>
      <c r="I23" s="419">
        <f t="shared" si="11"/>
        <v>1</v>
      </c>
      <c r="J23" s="420" t="s">
        <v>11</v>
      </c>
      <c r="K23" s="421">
        <f t="shared" si="12"/>
        <v>25</v>
      </c>
      <c r="L23" s="422" t="s">
        <v>12</v>
      </c>
      <c r="M23" s="425">
        <v>100</v>
      </c>
      <c r="N23" s="428" t="s">
        <v>9</v>
      </c>
      <c r="O23" s="185"/>
      <c r="P23" s="424" t="s">
        <v>31</v>
      </c>
      <c r="Q23" s="427">
        <f>Q33</f>
        <v>3000</v>
      </c>
      <c r="R23" s="428" t="s">
        <v>9</v>
      </c>
      <c r="S23" s="186"/>
      <c r="T23" s="186"/>
      <c r="U23" s="413" t="str">
        <f t="shared" ref="U23:U27" si="18">P23</f>
        <v>Ｃ運賃</v>
      </c>
      <c r="V23" s="234">
        <f t="shared" si="15"/>
        <v>1500</v>
      </c>
      <c r="W23" s="232" t="s">
        <v>9</v>
      </c>
      <c r="X23" s="413" t="str">
        <f t="shared" ref="X23:X27" si="19">P23</f>
        <v>Ｃ運賃</v>
      </c>
      <c r="Y23" s="234">
        <f t="shared" si="17"/>
        <v>1000</v>
      </c>
      <c r="Z23" s="232" t="s">
        <v>9</v>
      </c>
      <c r="AA23" s="186"/>
      <c r="AB23" s="191"/>
      <c r="AC23" s="191" t="str">
        <f>HLOOKUP($AC$5,名前2!$C:$J,21,0)</f>
        <v>よらず、以下の区分を適用する。</v>
      </c>
    </row>
    <row r="24" spans="1:29" ht="16.5" customHeight="1" x14ac:dyDescent="0.2">
      <c r="A24" s="448"/>
      <c r="B24" s="424" t="s">
        <v>32</v>
      </c>
      <c r="C24" s="429">
        <f t="shared" si="13"/>
        <v>690</v>
      </c>
      <c r="D24" s="430" t="s">
        <v>9</v>
      </c>
      <c r="E24" s="427">
        <f t="shared" ref="E24:E28" si="20">E34</f>
        <v>228</v>
      </c>
      <c r="F24" s="429" t="s">
        <v>10</v>
      </c>
      <c r="G24" s="429">
        <v>100</v>
      </c>
      <c r="H24" s="430" t="s">
        <v>9</v>
      </c>
      <c r="I24" s="419">
        <f t="shared" si="11"/>
        <v>1</v>
      </c>
      <c r="J24" s="420" t="s">
        <v>11</v>
      </c>
      <c r="K24" s="421">
        <f t="shared" si="12"/>
        <v>25</v>
      </c>
      <c r="L24" s="422" t="s">
        <v>12</v>
      </c>
      <c r="M24" s="429">
        <v>100</v>
      </c>
      <c r="N24" s="431" t="s">
        <v>9</v>
      </c>
      <c r="O24" s="185"/>
      <c r="P24" s="424" t="s">
        <v>32</v>
      </c>
      <c r="Q24" s="427">
        <f t="shared" ref="Q24:Q28" si="21">Q34</f>
        <v>2960</v>
      </c>
      <c r="R24" s="428" t="s">
        <v>9</v>
      </c>
      <c r="S24" s="186"/>
      <c r="T24" s="186"/>
      <c r="U24" s="413" t="str">
        <f t="shared" si="18"/>
        <v>Ｄ運賃</v>
      </c>
      <c r="V24" s="234">
        <f t="shared" si="15"/>
        <v>1480</v>
      </c>
      <c r="W24" s="232" t="s">
        <v>9</v>
      </c>
      <c r="X24" s="413" t="str">
        <f t="shared" si="19"/>
        <v>Ｄ運賃</v>
      </c>
      <c r="Y24" s="234">
        <f t="shared" si="17"/>
        <v>980</v>
      </c>
      <c r="Z24" s="232" t="s">
        <v>9</v>
      </c>
      <c r="AA24" s="186"/>
      <c r="AB24" s="191"/>
      <c r="AC24" s="191" t="str">
        <f>HLOOKUP($AC$5,名前2!$C:$J,22,0)</f>
        <v>一　次号に掲げる自動車以外の自動車</v>
      </c>
    </row>
    <row r="25" spans="1:29" ht="16.5" customHeight="1" x14ac:dyDescent="0.2">
      <c r="A25" s="448"/>
      <c r="B25" s="424" t="s">
        <v>38</v>
      </c>
      <c r="C25" s="429">
        <f t="shared" si="13"/>
        <v>680</v>
      </c>
      <c r="D25" s="430" t="s">
        <v>9</v>
      </c>
      <c r="E25" s="427">
        <f t="shared" si="20"/>
        <v>232</v>
      </c>
      <c r="F25" s="429" t="s">
        <v>10</v>
      </c>
      <c r="G25" s="429">
        <v>100</v>
      </c>
      <c r="H25" s="430" t="s">
        <v>9</v>
      </c>
      <c r="I25" s="419">
        <f t="shared" si="11"/>
        <v>1</v>
      </c>
      <c r="J25" s="420" t="s">
        <v>11</v>
      </c>
      <c r="K25" s="421">
        <f t="shared" si="12"/>
        <v>25</v>
      </c>
      <c r="L25" s="422" t="s">
        <v>12</v>
      </c>
      <c r="M25" s="429">
        <v>100</v>
      </c>
      <c r="N25" s="431" t="s">
        <v>9</v>
      </c>
      <c r="O25" s="185"/>
      <c r="P25" s="424" t="s">
        <v>38</v>
      </c>
      <c r="Q25" s="427">
        <f t="shared" si="21"/>
        <v>2920</v>
      </c>
      <c r="R25" s="428" t="s">
        <v>9</v>
      </c>
      <c r="S25" s="192"/>
      <c r="T25" s="186"/>
      <c r="U25" s="413" t="str">
        <f t="shared" si="18"/>
        <v>Ｅ運賃</v>
      </c>
      <c r="V25" s="234">
        <f t="shared" si="15"/>
        <v>1460</v>
      </c>
      <c r="W25" s="232" t="s">
        <v>9</v>
      </c>
      <c r="X25" s="413" t="str">
        <f t="shared" si="19"/>
        <v>Ｅ運賃</v>
      </c>
      <c r="Y25" s="234">
        <f t="shared" si="17"/>
        <v>970</v>
      </c>
      <c r="Z25" s="232" t="s">
        <v>9</v>
      </c>
      <c r="AA25" s="186"/>
      <c r="AB25" s="191"/>
      <c r="AC25" s="191" t="str">
        <f>HLOOKUP($AC$5,名前2!$C:$J,23,0)</f>
        <v>ア　乗車定員が７名以上のもの　大型車</v>
      </c>
    </row>
    <row r="26" spans="1:29" ht="16.5" customHeight="1" x14ac:dyDescent="0.2">
      <c r="A26" s="448"/>
      <c r="B26" s="444" t="s">
        <v>35</v>
      </c>
      <c r="C26" s="429">
        <f t="shared" si="13"/>
        <v>670</v>
      </c>
      <c r="D26" s="430" t="s">
        <v>9</v>
      </c>
      <c r="E26" s="427">
        <f t="shared" si="20"/>
        <v>235</v>
      </c>
      <c r="F26" s="429" t="s">
        <v>10</v>
      </c>
      <c r="G26" s="429">
        <v>100</v>
      </c>
      <c r="H26" s="430" t="s">
        <v>9</v>
      </c>
      <c r="I26" s="419">
        <f>TRUNC(CEILING(ROUNDUP(E26*0.36,0),5)/60,0)</f>
        <v>1</v>
      </c>
      <c r="J26" s="420" t="s">
        <v>11</v>
      </c>
      <c r="K26" s="421">
        <f>TRUNC(CEILING(ROUNDUP(E26*0.36,0),5)-I26*60,0)</f>
        <v>25</v>
      </c>
      <c r="L26" s="422" t="s">
        <v>12</v>
      </c>
      <c r="M26" s="429">
        <v>100</v>
      </c>
      <c r="N26" s="431" t="s">
        <v>9</v>
      </c>
      <c r="O26" s="185"/>
      <c r="P26" s="444" t="s">
        <v>35</v>
      </c>
      <c r="Q26" s="427">
        <f t="shared" si="21"/>
        <v>2880</v>
      </c>
      <c r="R26" s="428" t="s">
        <v>9</v>
      </c>
      <c r="S26" s="194"/>
      <c r="T26" s="186"/>
      <c r="U26" s="413" t="str">
        <f t="shared" si="18"/>
        <v>Ｆ運賃</v>
      </c>
      <c r="V26" s="234">
        <f t="shared" si="15"/>
        <v>1440</v>
      </c>
      <c r="W26" s="232" t="s">
        <v>9</v>
      </c>
      <c r="X26" s="413" t="str">
        <f t="shared" si="19"/>
        <v>Ｆ運賃</v>
      </c>
      <c r="Y26" s="234">
        <f t="shared" si="17"/>
        <v>960</v>
      </c>
      <c r="Z26" s="232" t="s">
        <v>9</v>
      </c>
      <c r="AA26" s="186"/>
      <c r="AB26" s="191"/>
      <c r="AC26" s="191" t="str">
        <f>HLOOKUP($AC$5,名前2!$C:$J,24,0)</f>
        <v>イ　乗車定員が６名以下のもの　普通車</v>
      </c>
    </row>
    <row r="27" spans="1:29" ht="16.5" customHeight="1" x14ac:dyDescent="0.2">
      <c r="A27" s="448"/>
      <c r="B27" s="424" t="s">
        <v>380</v>
      </c>
      <c r="C27" s="429">
        <f t="shared" si="13"/>
        <v>660</v>
      </c>
      <c r="D27" s="430" t="s">
        <v>9</v>
      </c>
      <c r="E27" s="427">
        <f t="shared" si="20"/>
        <v>239</v>
      </c>
      <c r="F27" s="429" t="s">
        <v>10</v>
      </c>
      <c r="G27" s="429">
        <v>100</v>
      </c>
      <c r="H27" s="430" t="s">
        <v>9</v>
      </c>
      <c r="I27" s="419">
        <f t="shared" ref="I27:I28" si="22">TRUNC(CEILING(ROUNDUP(E27*0.36,0),5)/60,0)</f>
        <v>1</v>
      </c>
      <c r="J27" s="420" t="s">
        <v>11</v>
      </c>
      <c r="K27" s="421">
        <f t="shared" ref="K27:K28" si="23">TRUNC(CEILING(ROUNDUP(E27*0.36,0),5)-I27*60,0)</f>
        <v>30</v>
      </c>
      <c r="L27" s="422" t="s">
        <v>12</v>
      </c>
      <c r="M27" s="429">
        <v>100</v>
      </c>
      <c r="N27" s="431" t="s">
        <v>9</v>
      </c>
      <c r="O27" s="185"/>
      <c r="P27" s="424" t="s">
        <v>380</v>
      </c>
      <c r="Q27" s="427">
        <f t="shared" si="21"/>
        <v>2830</v>
      </c>
      <c r="R27" s="428" t="s">
        <v>9</v>
      </c>
      <c r="S27" s="208"/>
      <c r="T27" s="186"/>
      <c r="U27" s="413" t="str">
        <f t="shared" si="18"/>
        <v>Ｇ運賃</v>
      </c>
      <c r="V27" s="234">
        <f t="shared" si="15"/>
        <v>1410</v>
      </c>
      <c r="W27" s="232" t="s">
        <v>9</v>
      </c>
      <c r="X27" s="413" t="str">
        <f t="shared" si="19"/>
        <v>Ｇ運賃</v>
      </c>
      <c r="Y27" s="234">
        <f t="shared" si="17"/>
        <v>940</v>
      </c>
      <c r="Z27" s="232" t="s">
        <v>9</v>
      </c>
      <c r="AA27" s="186"/>
      <c r="AB27" s="191"/>
      <c r="AC27" s="191" t="str">
        <f>HLOOKUP($AC$5,名前2!$C:$J,25,0)</f>
        <v>二　専ら旅客を寝台に乗せて運行することを目的とする</v>
      </c>
    </row>
    <row r="28" spans="1:29" ht="16.5" customHeight="1" thickBot="1" x14ac:dyDescent="0.25">
      <c r="A28" s="448"/>
      <c r="B28" s="432" t="s">
        <v>7</v>
      </c>
      <c r="C28" s="433">
        <f t="shared" si="13"/>
        <v>650</v>
      </c>
      <c r="D28" s="434" t="s">
        <v>9</v>
      </c>
      <c r="E28" s="435">
        <f t="shared" si="20"/>
        <v>242</v>
      </c>
      <c r="F28" s="433" t="s">
        <v>10</v>
      </c>
      <c r="G28" s="433">
        <v>100</v>
      </c>
      <c r="H28" s="434" t="s">
        <v>9</v>
      </c>
      <c r="I28" s="436">
        <f t="shared" si="22"/>
        <v>1</v>
      </c>
      <c r="J28" s="437" t="s">
        <v>11</v>
      </c>
      <c r="K28" s="438">
        <f t="shared" si="23"/>
        <v>30</v>
      </c>
      <c r="L28" s="439" t="s">
        <v>12</v>
      </c>
      <c r="M28" s="433">
        <v>100</v>
      </c>
      <c r="N28" s="440" t="s">
        <v>9</v>
      </c>
      <c r="O28" s="185"/>
      <c r="P28" s="432" t="s">
        <v>7</v>
      </c>
      <c r="Q28" s="435">
        <f t="shared" si="21"/>
        <v>2790</v>
      </c>
      <c r="R28" s="440" t="s">
        <v>9</v>
      </c>
      <c r="S28" s="208"/>
      <c r="T28" s="186"/>
      <c r="U28" s="226" t="str">
        <f>P28</f>
        <v>下限運賃</v>
      </c>
      <c r="V28" s="235">
        <f t="shared" si="15"/>
        <v>1390</v>
      </c>
      <c r="W28" s="218" t="s">
        <v>9</v>
      </c>
      <c r="X28" s="226" t="str">
        <f>P28</f>
        <v>下限運賃</v>
      </c>
      <c r="Y28" s="235">
        <f t="shared" si="17"/>
        <v>930</v>
      </c>
      <c r="Z28" s="218" t="s">
        <v>9</v>
      </c>
      <c r="AA28" s="186"/>
      <c r="AB28" s="191"/>
      <c r="AC28" s="191" t="str">
        <f>HLOOKUP($AC$5,名前2!$C:$J,26,0)</f>
        <v>自動車</v>
      </c>
    </row>
    <row r="29" spans="1:29" ht="16.5" customHeight="1" x14ac:dyDescent="0.2">
      <c r="A29" s="243"/>
      <c r="B29"/>
      <c r="C29"/>
      <c r="D29"/>
      <c r="E29"/>
      <c r="F29"/>
      <c r="G29"/>
      <c r="H29"/>
      <c r="I29"/>
      <c r="J29"/>
      <c r="K29"/>
      <c r="L29"/>
      <c r="M29"/>
      <c r="N29"/>
      <c r="O29" s="186"/>
      <c r="P29"/>
      <c r="Q29"/>
      <c r="R29"/>
      <c r="S29" s="208"/>
      <c r="T29" s="208"/>
      <c r="U29" s="186"/>
      <c r="V29" s="186"/>
      <c r="W29" s="186"/>
      <c r="X29" s="186"/>
      <c r="Y29" s="186"/>
      <c r="Z29" s="186"/>
      <c r="AA29" s="186"/>
      <c r="AB29" s="191"/>
      <c r="AC29" s="191" t="str">
        <f>HLOOKUP($AC$5,名前2!$C:$J,27,0)</f>
        <v>ア　普通自動車　普通自動車</v>
      </c>
    </row>
    <row r="30" spans="1:29" ht="16.5" customHeight="1" thickBot="1" x14ac:dyDescent="0.25">
      <c r="A30" s="243" t="s">
        <v>23</v>
      </c>
      <c r="B30"/>
      <c r="C30"/>
      <c r="D30"/>
      <c r="E30"/>
      <c r="F30"/>
      <c r="G30"/>
      <c r="H30"/>
      <c r="I30"/>
      <c r="J30"/>
      <c r="K30"/>
      <c r="L30"/>
      <c r="M30"/>
      <c r="N30"/>
      <c r="O30" s="186"/>
      <c r="P30"/>
      <c r="Q30"/>
      <c r="R30"/>
      <c r="S30" s="208"/>
      <c r="T30" s="208"/>
      <c r="U30" s="186"/>
      <c r="V30" s="186"/>
      <c r="W30" s="186"/>
      <c r="X30" s="186"/>
      <c r="Y30" s="186"/>
      <c r="Z30" s="186"/>
      <c r="AA30" s="186"/>
      <c r="AB30" s="191"/>
      <c r="AC30" s="191" t="str">
        <f>HLOOKUP($AC$5,名前2!$C:$J,28,0)</f>
        <v>イ　小型自動車　小型自動車</v>
      </c>
    </row>
    <row r="31" spans="1:29" ht="16.5" customHeight="1" x14ac:dyDescent="0.2">
      <c r="A31" s="243"/>
      <c r="B31" s="571"/>
      <c r="C31" s="573" t="s">
        <v>3</v>
      </c>
      <c r="D31" s="573"/>
      <c r="E31" s="573"/>
      <c r="F31" s="573"/>
      <c r="G31" s="573"/>
      <c r="H31" s="574"/>
      <c r="I31" s="575" t="s">
        <v>4</v>
      </c>
      <c r="J31" s="576"/>
      <c r="K31" s="576"/>
      <c r="L31" s="576"/>
      <c r="M31" s="576"/>
      <c r="N31" s="577"/>
      <c r="O31" s="186"/>
      <c r="P31" s="586"/>
      <c r="Q31" s="588" t="s">
        <v>5</v>
      </c>
      <c r="R31" s="589"/>
      <c r="S31" s="208"/>
      <c r="T31" s="208"/>
      <c r="U31" s="550"/>
      <c r="V31" s="552" t="s">
        <v>5</v>
      </c>
      <c r="W31" s="560"/>
      <c r="X31" s="550"/>
      <c r="Y31" s="552" t="s">
        <v>5</v>
      </c>
      <c r="Z31" s="560"/>
      <c r="AA31" s="186"/>
      <c r="AB31" s="191"/>
      <c r="AC31" s="191" t="str">
        <f>HLOOKUP($AC$5,名前2!$C:$J,30,0)</f>
        <v>内燃機関を搭載し、併せて電気又は蓄圧器に蓄えられた</v>
      </c>
    </row>
    <row r="32" spans="1:29" ht="30" customHeight="1" thickBot="1" x14ac:dyDescent="0.25">
      <c r="A32" s="447" t="str">
        <f>IF(COUNTIF(A33:A39,"○")=0,"無","")</f>
        <v>無</v>
      </c>
      <c r="B32" s="572"/>
      <c r="C32" s="581" t="s">
        <v>27</v>
      </c>
      <c r="D32" s="582"/>
      <c r="E32" s="583" t="s">
        <v>6</v>
      </c>
      <c r="F32" s="584"/>
      <c r="G32" s="584"/>
      <c r="H32" s="585"/>
      <c r="I32" s="578"/>
      <c r="J32" s="579"/>
      <c r="K32" s="579"/>
      <c r="L32" s="579"/>
      <c r="M32" s="579"/>
      <c r="N32" s="580"/>
      <c r="O32" s="193" t="str">
        <f>IF(COUNTIF(O33:O39,"○")=0,"無","")</f>
        <v>無</v>
      </c>
      <c r="P32" s="587"/>
      <c r="Q32" s="590" t="s">
        <v>487</v>
      </c>
      <c r="R32" s="591"/>
      <c r="S32" s="186"/>
      <c r="T32" s="186"/>
      <c r="U32" s="551"/>
      <c r="V32" s="547">
        <v>15</v>
      </c>
      <c r="W32" s="548"/>
      <c r="X32" s="551"/>
      <c r="Y32" s="547">
        <v>10</v>
      </c>
      <c r="Z32" s="548"/>
      <c r="AA32" s="186"/>
      <c r="AB32" s="191"/>
      <c r="AC32" s="191" t="str">
        <f>IF(HLOOKUP($AC$5,名前2!$C:$J,31,0)=0,"",HLOOKUP($AC$5,名前2!$C:$J,31,0))</f>
        <v>圧力を動力源として用いる自動車をいう。</v>
      </c>
    </row>
    <row r="33" spans="1:29" ht="16.5" customHeight="1" thickTop="1" x14ac:dyDescent="0.2">
      <c r="A33" s="448"/>
      <c r="B33" s="414" t="s">
        <v>8</v>
      </c>
      <c r="C33" s="415">
        <v>700</v>
      </c>
      <c r="D33" s="416" t="s">
        <v>9</v>
      </c>
      <c r="E33" s="417">
        <v>225</v>
      </c>
      <c r="F33" s="418" t="s">
        <v>10</v>
      </c>
      <c r="G33" s="415">
        <v>100</v>
      </c>
      <c r="H33" s="416" t="s">
        <v>9</v>
      </c>
      <c r="I33" s="419">
        <f t="shared" ref="I33:I37" si="24">TRUNC(CEILING(ROUNDUP(E33*0.36,0),5)/60,0)</f>
        <v>1</v>
      </c>
      <c r="J33" s="420" t="s">
        <v>11</v>
      </c>
      <c r="K33" s="421">
        <f t="shared" ref="K33:K37" si="25">TRUNC(CEILING(ROUNDUP(E33*0.36,0),5)-I33*60,0)</f>
        <v>25</v>
      </c>
      <c r="L33" s="422" t="s">
        <v>12</v>
      </c>
      <c r="M33" s="415">
        <v>100</v>
      </c>
      <c r="N33" s="423" t="s">
        <v>9</v>
      </c>
      <c r="O33" s="185"/>
      <c r="P33" s="414" t="s">
        <v>8</v>
      </c>
      <c r="Q33" s="441">
        <v>3000</v>
      </c>
      <c r="R33" s="423" t="s">
        <v>9</v>
      </c>
      <c r="S33" s="186"/>
      <c r="T33" s="186"/>
      <c r="U33" s="195" t="str">
        <f>P33</f>
        <v>上限運賃</v>
      </c>
      <c r="V33" s="207">
        <f>ROUNDDOWN($Q33*$V$8/$Q$8,-1)</f>
        <v>1500</v>
      </c>
      <c r="W33" s="209" t="s">
        <v>9</v>
      </c>
      <c r="X33" s="195" t="str">
        <f>P33</f>
        <v>上限運賃</v>
      </c>
      <c r="Y33" s="207">
        <f>ROUNDDOWN($Q33*$Y$8/$Q$8,-1)</f>
        <v>1000</v>
      </c>
      <c r="Z33" s="209" t="s">
        <v>9</v>
      </c>
      <c r="AA33" s="186"/>
      <c r="AB33" s="191"/>
      <c r="AC33" s="191"/>
    </row>
    <row r="34" spans="1:29" ht="16.5" customHeight="1" x14ac:dyDescent="0.2">
      <c r="A34" s="448"/>
      <c r="B34" s="424" t="s">
        <v>13</v>
      </c>
      <c r="C34" s="429">
        <f t="shared" ref="C34:C39" si="26">C33-10</f>
        <v>690</v>
      </c>
      <c r="D34" s="430" t="s">
        <v>9</v>
      </c>
      <c r="E34" s="427">
        <f>ROUND(E$33/(C34/C$33),0)</f>
        <v>228</v>
      </c>
      <c r="F34" s="429" t="s">
        <v>10</v>
      </c>
      <c r="G34" s="429">
        <v>100</v>
      </c>
      <c r="H34" s="430" t="s">
        <v>9</v>
      </c>
      <c r="I34" s="419">
        <f t="shared" si="24"/>
        <v>1</v>
      </c>
      <c r="J34" s="420" t="s">
        <v>11</v>
      </c>
      <c r="K34" s="421">
        <f t="shared" si="25"/>
        <v>25</v>
      </c>
      <c r="L34" s="422" t="s">
        <v>12</v>
      </c>
      <c r="M34" s="429">
        <v>100</v>
      </c>
      <c r="N34" s="431" t="s">
        <v>9</v>
      </c>
      <c r="O34" s="185"/>
      <c r="P34" s="424" t="s">
        <v>13</v>
      </c>
      <c r="Q34" s="427">
        <f t="shared" ref="Q34:Q39" si="27">ROUNDUP((C34/C$33)*Q$33,-1)</f>
        <v>2960</v>
      </c>
      <c r="R34" s="428" t="s">
        <v>9</v>
      </c>
      <c r="S34" s="186"/>
      <c r="T34" s="186"/>
      <c r="U34" s="413" t="str">
        <f t="shared" ref="U34:U39" si="28">P34</f>
        <v>Ｂ運賃</v>
      </c>
      <c r="V34" s="234">
        <f t="shared" ref="V34:V39" si="29">ROUNDDOWN($Q34*$V$8/$Q$8,-1)</f>
        <v>1480</v>
      </c>
      <c r="W34" s="232" t="s">
        <v>9</v>
      </c>
      <c r="X34" s="413" t="str">
        <f t="shared" ref="X34:X39" si="30">P34</f>
        <v>Ｂ運賃</v>
      </c>
      <c r="Y34" s="234">
        <f t="shared" ref="Y34:Y39" si="31">ROUNDDOWN($Q34*$Y$8/$Q$8,-1)</f>
        <v>980</v>
      </c>
      <c r="Z34" s="232" t="s">
        <v>9</v>
      </c>
      <c r="AA34" s="186"/>
      <c r="AB34" s="191"/>
      <c r="AC34" s="191"/>
    </row>
    <row r="35" spans="1:29" ht="16.5" customHeight="1" x14ac:dyDescent="0.2">
      <c r="A35" s="448"/>
      <c r="B35" s="424" t="s">
        <v>31</v>
      </c>
      <c r="C35" s="429">
        <f t="shared" si="26"/>
        <v>680</v>
      </c>
      <c r="D35" s="430" t="s">
        <v>9</v>
      </c>
      <c r="E35" s="427">
        <f t="shared" ref="E35:E38" si="32">ROUND(E$33/(C35/C$33),0)</f>
        <v>232</v>
      </c>
      <c r="F35" s="429" t="s">
        <v>10</v>
      </c>
      <c r="G35" s="425">
        <v>100</v>
      </c>
      <c r="H35" s="430" t="s">
        <v>9</v>
      </c>
      <c r="I35" s="419">
        <f t="shared" si="24"/>
        <v>1</v>
      </c>
      <c r="J35" s="420" t="s">
        <v>11</v>
      </c>
      <c r="K35" s="421">
        <f t="shared" si="25"/>
        <v>25</v>
      </c>
      <c r="L35" s="422" t="s">
        <v>12</v>
      </c>
      <c r="M35" s="425">
        <v>100</v>
      </c>
      <c r="N35" s="431" t="s">
        <v>9</v>
      </c>
      <c r="O35" s="185"/>
      <c r="P35" s="424" t="s">
        <v>31</v>
      </c>
      <c r="Q35" s="427">
        <f t="shared" si="27"/>
        <v>2920</v>
      </c>
      <c r="R35" s="428" t="s">
        <v>9</v>
      </c>
      <c r="S35" s="186"/>
      <c r="T35" s="186"/>
      <c r="U35" s="413" t="str">
        <f t="shared" si="28"/>
        <v>Ｃ運賃</v>
      </c>
      <c r="V35" s="234">
        <f t="shared" si="29"/>
        <v>1460</v>
      </c>
      <c r="W35" s="232" t="s">
        <v>9</v>
      </c>
      <c r="X35" s="413" t="str">
        <f t="shared" si="30"/>
        <v>Ｃ運賃</v>
      </c>
      <c r="Y35" s="234">
        <f t="shared" si="31"/>
        <v>970</v>
      </c>
      <c r="Z35" s="232" t="s">
        <v>9</v>
      </c>
      <c r="AA35" s="186"/>
      <c r="AB35" s="191"/>
      <c r="AC35" s="191"/>
    </row>
    <row r="36" spans="1:29" ht="16.5" customHeight="1" x14ac:dyDescent="0.2">
      <c r="A36" s="448"/>
      <c r="B36" s="424" t="s">
        <v>32</v>
      </c>
      <c r="C36" s="429">
        <f t="shared" si="26"/>
        <v>670</v>
      </c>
      <c r="D36" s="426" t="s">
        <v>9</v>
      </c>
      <c r="E36" s="427">
        <f t="shared" si="32"/>
        <v>235</v>
      </c>
      <c r="F36" s="425" t="s">
        <v>10</v>
      </c>
      <c r="G36" s="425">
        <v>100</v>
      </c>
      <c r="H36" s="426" t="s">
        <v>9</v>
      </c>
      <c r="I36" s="419">
        <f t="shared" si="24"/>
        <v>1</v>
      </c>
      <c r="J36" s="420" t="s">
        <v>11</v>
      </c>
      <c r="K36" s="421">
        <f t="shared" si="25"/>
        <v>25</v>
      </c>
      <c r="L36" s="422" t="s">
        <v>12</v>
      </c>
      <c r="M36" s="425">
        <v>100</v>
      </c>
      <c r="N36" s="428" t="s">
        <v>9</v>
      </c>
      <c r="O36" s="185"/>
      <c r="P36" s="424" t="s">
        <v>32</v>
      </c>
      <c r="Q36" s="427">
        <f t="shared" si="27"/>
        <v>2880</v>
      </c>
      <c r="R36" s="428" t="s">
        <v>9</v>
      </c>
      <c r="S36" s="186"/>
      <c r="T36" s="186"/>
      <c r="U36" s="413" t="str">
        <f t="shared" si="28"/>
        <v>Ｄ運賃</v>
      </c>
      <c r="V36" s="234">
        <f t="shared" si="29"/>
        <v>1440</v>
      </c>
      <c r="W36" s="232" t="s">
        <v>9</v>
      </c>
      <c r="X36" s="413" t="str">
        <f t="shared" si="30"/>
        <v>Ｄ運賃</v>
      </c>
      <c r="Y36" s="234">
        <f t="shared" si="31"/>
        <v>960</v>
      </c>
      <c r="Z36" s="232" t="s">
        <v>9</v>
      </c>
      <c r="AA36" s="186"/>
      <c r="AB36" s="191"/>
      <c r="AC36" s="191"/>
    </row>
    <row r="37" spans="1:29" ht="16.5" customHeight="1" x14ac:dyDescent="0.2">
      <c r="A37" s="448"/>
      <c r="B37" s="424" t="s">
        <v>38</v>
      </c>
      <c r="C37" s="429">
        <f t="shared" si="26"/>
        <v>660</v>
      </c>
      <c r="D37" s="426" t="s">
        <v>9</v>
      </c>
      <c r="E37" s="427">
        <f t="shared" si="32"/>
        <v>239</v>
      </c>
      <c r="F37" s="425" t="s">
        <v>10</v>
      </c>
      <c r="G37" s="425">
        <v>100</v>
      </c>
      <c r="H37" s="426" t="s">
        <v>9</v>
      </c>
      <c r="I37" s="419">
        <f t="shared" si="24"/>
        <v>1</v>
      </c>
      <c r="J37" s="420" t="s">
        <v>11</v>
      </c>
      <c r="K37" s="421">
        <f t="shared" si="25"/>
        <v>30</v>
      </c>
      <c r="L37" s="422" t="s">
        <v>12</v>
      </c>
      <c r="M37" s="425">
        <v>100</v>
      </c>
      <c r="N37" s="428" t="s">
        <v>9</v>
      </c>
      <c r="O37" s="185"/>
      <c r="P37" s="424" t="s">
        <v>38</v>
      </c>
      <c r="Q37" s="427">
        <f t="shared" si="27"/>
        <v>2830</v>
      </c>
      <c r="R37" s="428" t="s">
        <v>9</v>
      </c>
      <c r="S37" s="186"/>
      <c r="T37" s="186"/>
      <c r="U37" s="413" t="str">
        <f t="shared" si="28"/>
        <v>Ｅ運賃</v>
      </c>
      <c r="V37" s="234">
        <f t="shared" si="29"/>
        <v>1410</v>
      </c>
      <c r="W37" s="232" t="s">
        <v>9</v>
      </c>
      <c r="X37" s="413" t="str">
        <f t="shared" si="30"/>
        <v>Ｅ運賃</v>
      </c>
      <c r="Y37" s="234">
        <f t="shared" si="31"/>
        <v>940</v>
      </c>
      <c r="Z37" s="232" t="s">
        <v>9</v>
      </c>
      <c r="AA37" s="186"/>
      <c r="AB37" s="191"/>
      <c r="AC37" s="191"/>
    </row>
    <row r="38" spans="1:29" ht="16.5" customHeight="1" x14ac:dyDescent="0.2">
      <c r="A38" s="448"/>
      <c r="B38" s="424" t="s">
        <v>37</v>
      </c>
      <c r="C38" s="429">
        <f t="shared" si="26"/>
        <v>650</v>
      </c>
      <c r="D38" s="426" t="s">
        <v>9</v>
      </c>
      <c r="E38" s="427">
        <f t="shared" si="32"/>
        <v>242</v>
      </c>
      <c r="F38" s="425" t="s">
        <v>10</v>
      </c>
      <c r="G38" s="425">
        <v>100</v>
      </c>
      <c r="H38" s="426" t="s">
        <v>9</v>
      </c>
      <c r="I38" s="419">
        <f>TRUNC(CEILING(ROUNDUP(E38*0.36,0),5)/60,0)</f>
        <v>1</v>
      </c>
      <c r="J38" s="420" t="s">
        <v>11</v>
      </c>
      <c r="K38" s="421">
        <f>TRUNC(CEILING(ROUNDUP(E38*0.36,0),5)-I38*60,0)</f>
        <v>30</v>
      </c>
      <c r="L38" s="422" t="s">
        <v>12</v>
      </c>
      <c r="M38" s="425">
        <v>100</v>
      </c>
      <c r="N38" s="428" t="s">
        <v>9</v>
      </c>
      <c r="O38" s="185"/>
      <c r="P38" s="424" t="s">
        <v>37</v>
      </c>
      <c r="Q38" s="427">
        <f t="shared" si="27"/>
        <v>2790</v>
      </c>
      <c r="R38" s="428" t="s">
        <v>9</v>
      </c>
      <c r="S38" s="186"/>
      <c r="T38" s="186"/>
      <c r="U38" s="413" t="str">
        <f t="shared" si="28"/>
        <v>Ｆ運賃</v>
      </c>
      <c r="V38" s="234">
        <f t="shared" si="29"/>
        <v>1390</v>
      </c>
      <c r="W38" s="232" t="s">
        <v>9</v>
      </c>
      <c r="X38" s="413" t="str">
        <f t="shared" si="30"/>
        <v>Ｆ運賃</v>
      </c>
      <c r="Y38" s="234">
        <f t="shared" si="31"/>
        <v>930</v>
      </c>
      <c r="Z38" s="232" t="s">
        <v>9</v>
      </c>
      <c r="AA38" s="186"/>
      <c r="AB38" s="191"/>
      <c r="AC38" s="191"/>
    </row>
    <row r="39" spans="1:29" ht="16.5" customHeight="1" thickBot="1" x14ac:dyDescent="0.25">
      <c r="A39" s="448"/>
      <c r="B39" s="432" t="s">
        <v>7</v>
      </c>
      <c r="C39" s="433">
        <f t="shared" si="26"/>
        <v>640</v>
      </c>
      <c r="D39" s="434" t="s">
        <v>9</v>
      </c>
      <c r="E39" s="435">
        <f>ROUND(E$33/(C39/C$33),0)</f>
        <v>246</v>
      </c>
      <c r="F39" s="433" t="s">
        <v>10</v>
      </c>
      <c r="G39" s="433">
        <v>100</v>
      </c>
      <c r="H39" s="434" t="s">
        <v>9</v>
      </c>
      <c r="I39" s="436">
        <f t="shared" ref="I39" si="33">TRUNC(CEILING(ROUNDUP(E39*0.36,0),5)/60,0)</f>
        <v>1</v>
      </c>
      <c r="J39" s="437" t="s">
        <v>11</v>
      </c>
      <c r="K39" s="438">
        <f t="shared" ref="K39" si="34">TRUNC(CEILING(ROUNDUP(E39*0.36,0),5)-I39*60,0)</f>
        <v>30</v>
      </c>
      <c r="L39" s="439" t="s">
        <v>12</v>
      </c>
      <c r="M39" s="433">
        <v>100</v>
      </c>
      <c r="N39" s="440" t="s">
        <v>9</v>
      </c>
      <c r="O39" s="185"/>
      <c r="P39" s="432" t="s">
        <v>7</v>
      </c>
      <c r="Q39" s="435">
        <f t="shared" si="27"/>
        <v>2750</v>
      </c>
      <c r="R39" s="440" t="s">
        <v>9</v>
      </c>
      <c r="S39" s="186"/>
      <c r="T39" s="186"/>
      <c r="U39" s="226" t="str">
        <f t="shared" si="28"/>
        <v>下限運賃</v>
      </c>
      <c r="V39" s="235">
        <f t="shared" si="29"/>
        <v>1370</v>
      </c>
      <c r="W39" s="218" t="s">
        <v>9</v>
      </c>
      <c r="X39" s="226" t="str">
        <f t="shared" si="30"/>
        <v>下限運賃</v>
      </c>
      <c r="Y39" s="235">
        <f t="shared" si="31"/>
        <v>910</v>
      </c>
      <c r="Z39" s="218" t="s">
        <v>9</v>
      </c>
      <c r="AA39" s="186"/>
      <c r="AB39" s="191"/>
      <c r="AC39" s="191"/>
    </row>
    <row r="40" spans="1:29" ht="13.5" customHeight="1"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row>
    <row r="41" spans="1:29" ht="16.5" customHeight="1" x14ac:dyDescent="0.2">
      <c r="A41" s="243"/>
      <c r="B41" s="208"/>
      <c r="C41" s="208"/>
      <c r="D41" s="208"/>
      <c r="E41" s="208"/>
      <c r="F41" s="208"/>
      <c r="G41" s="208"/>
      <c r="H41" s="208"/>
      <c r="I41" s="208"/>
      <c r="J41" s="208"/>
      <c r="K41" s="208"/>
      <c r="L41" s="208"/>
      <c r="M41" s="208"/>
      <c r="N41" s="208"/>
      <c r="O41" s="186"/>
      <c r="P41" s="208"/>
      <c r="Q41" s="208"/>
      <c r="R41" s="208"/>
      <c r="S41" s="208"/>
      <c r="T41" s="208"/>
      <c r="U41" s="186"/>
      <c r="V41" s="186"/>
      <c r="W41" s="186"/>
      <c r="X41" s="186"/>
      <c r="Y41" s="186"/>
      <c r="Z41" s="186"/>
      <c r="AA41" s="186"/>
      <c r="AB41" s="191"/>
      <c r="AC41" s="191" t="str">
        <f>IF(HLOOKUP($AC$5,名前2!$C:$J,32,0)=0,"",HLOOKUP($AC$5,名前2!$C:$J,32,0))</f>
        <v/>
      </c>
    </row>
    <row r="42" spans="1:29" ht="13.5" customHeight="1" x14ac:dyDescent="0.2">
      <c r="A42" s="243"/>
      <c r="B42" s="188" t="s">
        <v>259</v>
      </c>
      <c r="C42" s="189" t="str">
        <f>HYPERLINK("#手引き!B46","手引きへ戻る")</f>
        <v>手引きへ戻る</v>
      </c>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row>
    <row r="43" spans="1:29" x14ac:dyDescent="0.2">
      <c r="A43" s="243"/>
      <c r="O43" s="186"/>
      <c r="U43" s="186"/>
      <c r="V43" s="186"/>
      <c r="W43" s="186"/>
      <c r="X43" s="186"/>
      <c r="Y43" s="186"/>
      <c r="Z43" s="186"/>
    </row>
    <row r="44" spans="1:29" x14ac:dyDescent="0.2">
      <c r="A44" s="243"/>
      <c r="O44" s="186"/>
      <c r="U44" s="186"/>
      <c r="V44" s="186"/>
      <c r="W44" s="186"/>
      <c r="X44" s="186"/>
      <c r="Y44" s="186"/>
      <c r="Z44" s="186"/>
    </row>
    <row r="45" spans="1:29" x14ac:dyDescent="0.2">
      <c r="A45" s="243"/>
      <c r="O45" s="186"/>
      <c r="U45" s="186"/>
      <c r="V45" s="186"/>
      <c r="W45" s="186"/>
      <c r="X45" s="186"/>
      <c r="Y45" s="186"/>
      <c r="Z45" s="186"/>
    </row>
    <row r="46" spans="1:29" x14ac:dyDescent="0.2">
      <c r="A46" s="243"/>
      <c r="O46" s="186"/>
      <c r="U46" s="208"/>
      <c r="V46" s="208"/>
      <c r="W46" s="208"/>
      <c r="X46" s="208"/>
      <c r="Y46" s="208"/>
      <c r="Z46" s="208"/>
    </row>
    <row r="47" spans="1:29" x14ac:dyDescent="0.2">
      <c r="A47" s="243"/>
      <c r="O47" s="208"/>
      <c r="U47" s="186"/>
      <c r="V47" s="186"/>
      <c r="W47" s="186"/>
      <c r="X47" s="186"/>
      <c r="Y47" s="186"/>
      <c r="Z47" s="186"/>
    </row>
    <row r="48" spans="1:29" x14ac:dyDescent="0.2">
      <c r="A48" s="243"/>
      <c r="O48" s="186"/>
    </row>
  </sheetData>
  <sheetProtection algorithmName="SHA-512" hashValue="Nn/EcQyjaZ/MExuhYpd5GHuSyhgECKTx+yhWabYBcP3GzOk9NjS0aIGJClHrOR7psiP/vlyTyN6DUxpdVosqlw==" saltValue="7ySecda58e9JFd+xJIbSgw==" spinCount="100000" sheet="1" objects="1" scenarios="1"/>
  <mergeCells count="46">
    <mergeCell ref="U31:U32"/>
    <mergeCell ref="V31:W31"/>
    <mergeCell ref="X31:X32"/>
    <mergeCell ref="Y31:Z31"/>
    <mergeCell ref="V32:W32"/>
    <mergeCell ref="Y32:Z32"/>
    <mergeCell ref="U19:U20"/>
    <mergeCell ref="V19:W19"/>
    <mergeCell ref="X19:X20"/>
    <mergeCell ref="Y19:Z19"/>
    <mergeCell ref="V20:W20"/>
    <mergeCell ref="Y20:Z20"/>
    <mergeCell ref="V8:W8"/>
    <mergeCell ref="Y8:Z8"/>
    <mergeCell ref="U7:U8"/>
    <mergeCell ref="V7:W7"/>
    <mergeCell ref="X7:X8"/>
    <mergeCell ref="Y7:Z7"/>
    <mergeCell ref="M1:R1"/>
    <mergeCell ref="B2:R2"/>
    <mergeCell ref="B7:B8"/>
    <mergeCell ref="C7:H7"/>
    <mergeCell ref="I7:N8"/>
    <mergeCell ref="P7:P8"/>
    <mergeCell ref="Q7:R7"/>
    <mergeCell ref="C8:D8"/>
    <mergeCell ref="E8:H8"/>
    <mergeCell ref="Q8:R8"/>
    <mergeCell ref="C3:S3"/>
    <mergeCell ref="C4:S4"/>
    <mergeCell ref="P19:P20"/>
    <mergeCell ref="Q19:R19"/>
    <mergeCell ref="Q20:R20"/>
    <mergeCell ref="P31:P32"/>
    <mergeCell ref="Q31:R31"/>
    <mergeCell ref="Q32:R32"/>
    <mergeCell ref="B19:B20"/>
    <mergeCell ref="C19:H19"/>
    <mergeCell ref="I19:N20"/>
    <mergeCell ref="C20:D20"/>
    <mergeCell ref="E20:H20"/>
    <mergeCell ref="B31:B32"/>
    <mergeCell ref="C31:H31"/>
    <mergeCell ref="I31:N32"/>
    <mergeCell ref="C32:D32"/>
    <mergeCell ref="E32:H32"/>
  </mergeCells>
  <phoneticPr fontId="1"/>
  <conditionalFormatting sqref="A9:A16">
    <cfRule type="expression" dxfId="23" priority="144">
      <formula>COUNTIF($A$9:$A$16,"○")=1</formula>
    </cfRule>
  </conditionalFormatting>
  <conditionalFormatting sqref="A21:A28">
    <cfRule type="expression" dxfId="22" priority="3">
      <formula>COUNTIF($A$21:$A$28,"○")=1</formula>
    </cfRule>
  </conditionalFormatting>
  <conditionalFormatting sqref="A22:A28 O22:O28">
    <cfRule type="expression" dxfId="21" priority="105">
      <formula>COUNTIF(A$21:A$25,"○")=1</formula>
    </cfRule>
  </conditionalFormatting>
  <conditionalFormatting sqref="A33:A39">
    <cfRule type="expression" dxfId="20" priority="2">
      <formula>COUNTIF($A$33:$A$39,"○")=1</formula>
    </cfRule>
  </conditionalFormatting>
  <conditionalFormatting sqref="A34:A39">
    <cfRule type="expression" dxfId="19" priority="146">
      <formula>COUNTIF(A$33:A$37,"○")=1</formula>
    </cfRule>
  </conditionalFormatting>
  <conditionalFormatting sqref="O9:O16">
    <cfRule type="expression" dxfId="18" priority="5">
      <formula>COUNTIF($O$9:$O$16,"○")=1</formula>
    </cfRule>
  </conditionalFormatting>
  <conditionalFormatting sqref="O21:O28">
    <cfRule type="expression" dxfId="17" priority="4">
      <formula>COUNTIF($O$21:$O$28,"○")=1</formula>
    </cfRule>
  </conditionalFormatting>
  <conditionalFormatting sqref="O33:O39">
    <cfRule type="expression" dxfId="16" priority="1">
      <formula>COUNTIF($O$33:$O$39,"○")=1</formula>
    </cfRule>
  </conditionalFormatting>
  <conditionalFormatting sqref="O34:O39">
    <cfRule type="expression" dxfId="15" priority="106">
      <formula>COUNTIF(O$33:O$37,"○")=1</formula>
    </cfRule>
  </conditionalFormatting>
  <hyperlinks>
    <hyperlink ref="C42" location="手引き!Print_Area" display="手引きへ戻る" xr:uid="{00000000-0004-0000-0700-000000000000}"/>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名前2!$B$1:$B$2</xm:f>
          </x14:formula1>
          <xm:sqref>A21:A28 O9:O16 A33:A39 A9:A16 O21:O28 O33:O39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6CCDF-E4F4-439B-89A6-2A591DC5E959}">
  <sheetPr>
    <pageSetUpPr fitToPage="1"/>
  </sheetPr>
  <dimension ref="A1:AC47"/>
  <sheetViews>
    <sheetView view="pageBreakPreview" topLeftCell="A15" zoomScaleNormal="100" zoomScaleSheetLayoutView="100" workbookViewId="0">
      <selection activeCell="AC35" sqref="AC35"/>
    </sheetView>
  </sheetViews>
  <sheetFormatPr defaultRowHeight="13.2" x14ac:dyDescent="0.2"/>
  <cols>
    <col min="1" max="1" width="3.33203125" style="29" customWidth="1"/>
    <col min="2" max="2" width="8.88671875"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8.88671875" style="1"/>
    <col min="17" max="17" width="7.6640625" style="1" customWidth="1"/>
    <col min="18" max="18" width="3.33203125" style="1" bestFit="1" customWidth="1"/>
    <col min="19" max="19" width="9.44140625" style="1" customWidth="1"/>
    <col min="20" max="21" width="8.88671875" style="1"/>
    <col min="22" max="22" width="7.6640625" style="1" customWidth="1"/>
    <col min="23" max="23" width="3.33203125" style="1" customWidth="1"/>
    <col min="24" max="24" width="8.88671875" style="1"/>
    <col min="25" max="25" width="7.6640625" style="1" customWidth="1"/>
    <col min="26" max="26" width="3.33203125" style="1" customWidth="1"/>
    <col min="27" max="27" width="9" style="1" customWidth="1"/>
    <col min="28" max="28" width="13.88671875" style="1" bestFit="1" customWidth="1"/>
    <col min="29" max="29" width="8.88671875" style="1"/>
    <col min="30" max="45" width="9" style="1" customWidth="1"/>
    <col min="46" max="256" width="8.88671875" style="1"/>
    <col min="257" max="257" width="3.33203125" style="1" customWidth="1"/>
    <col min="258" max="258" width="8.88671875"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8.88671875" style="1"/>
    <col min="273" max="273" width="7.6640625" style="1" customWidth="1"/>
    <col min="274" max="274" width="3.33203125" style="1" bestFit="1" customWidth="1"/>
    <col min="275" max="275" width="5.6640625" style="1" customWidth="1"/>
    <col min="276" max="276" width="8.88671875" style="1"/>
    <col min="277" max="277" width="5.33203125" style="1" customWidth="1"/>
    <col min="278" max="512" width="8.88671875" style="1"/>
    <col min="513" max="513" width="3.33203125" style="1" customWidth="1"/>
    <col min="514" max="514" width="8.88671875"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8.88671875" style="1"/>
    <col min="529" max="529" width="7.6640625" style="1" customWidth="1"/>
    <col min="530" max="530" width="3.33203125" style="1" bestFit="1" customWidth="1"/>
    <col min="531" max="531" width="5.6640625" style="1" customWidth="1"/>
    <col min="532" max="532" width="8.88671875" style="1"/>
    <col min="533" max="533" width="5.33203125" style="1" customWidth="1"/>
    <col min="534" max="768" width="8.88671875" style="1"/>
    <col min="769" max="769" width="3.33203125" style="1" customWidth="1"/>
    <col min="770" max="770" width="8.88671875"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8.88671875" style="1"/>
    <col min="785" max="785" width="7.6640625" style="1" customWidth="1"/>
    <col min="786" max="786" width="3.33203125" style="1" bestFit="1" customWidth="1"/>
    <col min="787" max="787" width="5.6640625" style="1" customWidth="1"/>
    <col min="788" max="788" width="8.88671875" style="1"/>
    <col min="789" max="789" width="5.33203125" style="1" customWidth="1"/>
    <col min="790" max="1024" width="8.88671875" style="1"/>
    <col min="1025" max="1025" width="3.33203125" style="1" customWidth="1"/>
    <col min="1026" max="1026" width="8.88671875"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8.88671875" style="1"/>
    <col min="1041" max="1041" width="7.6640625" style="1" customWidth="1"/>
    <col min="1042" max="1042" width="3.33203125" style="1" bestFit="1" customWidth="1"/>
    <col min="1043" max="1043" width="5.6640625" style="1" customWidth="1"/>
    <col min="1044" max="1044" width="8.88671875" style="1"/>
    <col min="1045" max="1045" width="5.33203125" style="1" customWidth="1"/>
    <col min="1046" max="1280" width="8.88671875" style="1"/>
    <col min="1281" max="1281" width="3.33203125" style="1" customWidth="1"/>
    <col min="1282" max="1282" width="8.88671875"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8.88671875" style="1"/>
    <col min="1297" max="1297" width="7.6640625" style="1" customWidth="1"/>
    <col min="1298" max="1298" width="3.33203125" style="1" bestFit="1" customWidth="1"/>
    <col min="1299" max="1299" width="5.6640625" style="1" customWidth="1"/>
    <col min="1300" max="1300" width="8.88671875" style="1"/>
    <col min="1301" max="1301" width="5.33203125" style="1" customWidth="1"/>
    <col min="1302" max="1536" width="8.88671875" style="1"/>
    <col min="1537" max="1537" width="3.33203125" style="1" customWidth="1"/>
    <col min="1538" max="1538" width="8.88671875"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8.88671875" style="1"/>
    <col min="1553" max="1553" width="7.6640625" style="1" customWidth="1"/>
    <col min="1554" max="1554" width="3.33203125" style="1" bestFit="1" customWidth="1"/>
    <col min="1555" max="1555" width="5.6640625" style="1" customWidth="1"/>
    <col min="1556" max="1556" width="8.88671875" style="1"/>
    <col min="1557" max="1557" width="5.33203125" style="1" customWidth="1"/>
    <col min="1558" max="1792" width="8.88671875" style="1"/>
    <col min="1793" max="1793" width="3.33203125" style="1" customWidth="1"/>
    <col min="1794" max="1794" width="8.88671875"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8.88671875" style="1"/>
    <col min="1809" max="1809" width="7.6640625" style="1" customWidth="1"/>
    <col min="1810" max="1810" width="3.33203125" style="1" bestFit="1" customWidth="1"/>
    <col min="1811" max="1811" width="5.6640625" style="1" customWidth="1"/>
    <col min="1812" max="1812" width="8.88671875" style="1"/>
    <col min="1813" max="1813" width="5.33203125" style="1" customWidth="1"/>
    <col min="1814" max="2048" width="8.88671875" style="1"/>
    <col min="2049" max="2049" width="3.33203125" style="1" customWidth="1"/>
    <col min="2050" max="2050" width="8.88671875"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8.88671875" style="1"/>
    <col min="2065" max="2065" width="7.6640625" style="1" customWidth="1"/>
    <col min="2066" max="2066" width="3.33203125" style="1" bestFit="1" customWidth="1"/>
    <col min="2067" max="2067" width="5.6640625" style="1" customWidth="1"/>
    <col min="2068" max="2068" width="8.88671875" style="1"/>
    <col min="2069" max="2069" width="5.33203125" style="1" customWidth="1"/>
    <col min="2070" max="2304" width="8.88671875" style="1"/>
    <col min="2305" max="2305" width="3.33203125" style="1" customWidth="1"/>
    <col min="2306" max="2306" width="8.88671875"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8.88671875" style="1"/>
    <col min="2321" max="2321" width="7.6640625" style="1" customWidth="1"/>
    <col min="2322" max="2322" width="3.33203125" style="1" bestFit="1" customWidth="1"/>
    <col min="2323" max="2323" width="5.6640625" style="1" customWidth="1"/>
    <col min="2324" max="2324" width="8.88671875" style="1"/>
    <col min="2325" max="2325" width="5.33203125" style="1" customWidth="1"/>
    <col min="2326" max="2560" width="8.88671875" style="1"/>
    <col min="2561" max="2561" width="3.33203125" style="1" customWidth="1"/>
    <col min="2562" max="2562" width="8.88671875"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8.88671875" style="1"/>
    <col min="2577" max="2577" width="7.6640625" style="1" customWidth="1"/>
    <col min="2578" max="2578" width="3.33203125" style="1" bestFit="1" customWidth="1"/>
    <col min="2579" max="2579" width="5.6640625" style="1" customWidth="1"/>
    <col min="2580" max="2580" width="8.88671875" style="1"/>
    <col min="2581" max="2581" width="5.33203125" style="1" customWidth="1"/>
    <col min="2582" max="2816" width="8.88671875" style="1"/>
    <col min="2817" max="2817" width="3.33203125" style="1" customWidth="1"/>
    <col min="2818" max="2818" width="8.88671875"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8.88671875" style="1"/>
    <col min="2833" max="2833" width="7.6640625" style="1" customWidth="1"/>
    <col min="2834" max="2834" width="3.33203125" style="1" bestFit="1" customWidth="1"/>
    <col min="2835" max="2835" width="5.6640625" style="1" customWidth="1"/>
    <col min="2836" max="2836" width="8.88671875" style="1"/>
    <col min="2837" max="2837" width="5.33203125" style="1" customWidth="1"/>
    <col min="2838" max="3072" width="8.88671875" style="1"/>
    <col min="3073" max="3073" width="3.33203125" style="1" customWidth="1"/>
    <col min="3074" max="3074" width="8.88671875"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8.88671875" style="1"/>
    <col min="3089" max="3089" width="7.6640625" style="1" customWidth="1"/>
    <col min="3090" max="3090" width="3.33203125" style="1" bestFit="1" customWidth="1"/>
    <col min="3091" max="3091" width="5.6640625" style="1" customWidth="1"/>
    <col min="3092" max="3092" width="8.88671875" style="1"/>
    <col min="3093" max="3093" width="5.33203125" style="1" customWidth="1"/>
    <col min="3094" max="3328" width="8.88671875" style="1"/>
    <col min="3329" max="3329" width="3.33203125" style="1" customWidth="1"/>
    <col min="3330" max="3330" width="8.88671875"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8.88671875" style="1"/>
    <col min="3345" max="3345" width="7.6640625" style="1" customWidth="1"/>
    <col min="3346" max="3346" width="3.33203125" style="1" bestFit="1" customWidth="1"/>
    <col min="3347" max="3347" width="5.6640625" style="1" customWidth="1"/>
    <col min="3348" max="3348" width="8.88671875" style="1"/>
    <col min="3349" max="3349" width="5.33203125" style="1" customWidth="1"/>
    <col min="3350" max="3584" width="8.88671875" style="1"/>
    <col min="3585" max="3585" width="3.33203125" style="1" customWidth="1"/>
    <col min="3586" max="3586" width="8.88671875"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8.88671875" style="1"/>
    <col min="3601" max="3601" width="7.6640625" style="1" customWidth="1"/>
    <col min="3602" max="3602" width="3.33203125" style="1" bestFit="1" customWidth="1"/>
    <col min="3603" max="3603" width="5.6640625" style="1" customWidth="1"/>
    <col min="3604" max="3604" width="8.88671875" style="1"/>
    <col min="3605" max="3605" width="5.33203125" style="1" customWidth="1"/>
    <col min="3606" max="3840" width="8.88671875" style="1"/>
    <col min="3841" max="3841" width="3.33203125" style="1" customWidth="1"/>
    <col min="3842" max="3842" width="8.88671875"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8.88671875" style="1"/>
    <col min="3857" max="3857" width="7.6640625" style="1" customWidth="1"/>
    <col min="3858" max="3858" width="3.33203125" style="1" bestFit="1" customWidth="1"/>
    <col min="3859" max="3859" width="5.6640625" style="1" customWidth="1"/>
    <col min="3860" max="3860" width="8.88671875" style="1"/>
    <col min="3861" max="3861" width="5.33203125" style="1" customWidth="1"/>
    <col min="3862" max="4096" width="8.88671875" style="1"/>
    <col min="4097" max="4097" width="3.33203125" style="1" customWidth="1"/>
    <col min="4098" max="4098" width="8.88671875"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8.88671875" style="1"/>
    <col min="4113" max="4113" width="7.6640625" style="1" customWidth="1"/>
    <col min="4114" max="4114" width="3.33203125" style="1" bestFit="1" customWidth="1"/>
    <col min="4115" max="4115" width="5.6640625" style="1" customWidth="1"/>
    <col min="4116" max="4116" width="8.88671875" style="1"/>
    <col min="4117" max="4117" width="5.33203125" style="1" customWidth="1"/>
    <col min="4118" max="4352" width="8.88671875" style="1"/>
    <col min="4353" max="4353" width="3.33203125" style="1" customWidth="1"/>
    <col min="4354" max="4354" width="8.88671875"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8.88671875" style="1"/>
    <col min="4369" max="4369" width="7.6640625" style="1" customWidth="1"/>
    <col min="4370" max="4370" width="3.33203125" style="1" bestFit="1" customWidth="1"/>
    <col min="4371" max="4371" width="5.6640625" style="1" customWidth="1"/>
    <col min="4372" max="4372" width="8.88671875" style="1"/>
    <col min="4373" max="4373" width="5.33203125" style="1" customWidth="1"/>
    <col min="4374" max="4608" width="8.88671875" style="1"/>
    <col min="4609" max="4609" width="3.33203125" style="1" customWidth="1"/>
    <col min="4610" max="4610" width="8.88671875"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8.88671875" style="1"/>
    <col min="4625" max="4625" width="7.6640625" style="1" customWidth="1"/>
    <col min="4626" max="4626" width="3.33203125" style="1" bestFit="1" customWidth="1"/>
    <col min="4627" max="4627" width="5.6640625" style="1" customWidth="1"/>
    <col min="4628" max="4628" width="8.88671875" style="1"/>
    <col min="4629" max="4629" width="5.33203125" style="1" customWidth="1"/>
    <col min="4630" max="4864" width="8.88671875" style="1"/>
    <col min="4865" max="4865" width="3.33203125" style="1" customWidth="1"/>
    <col min="4866" max="4866" width="8.88671875"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8.88671875" style="1"/>
    <col min="4881" max="4881" width="7.6640625" style="1" customWidth="1"/>
    <col min="4882" max="4882" width="3.33203125" style="1" bestFit="1" customWidth="1"/>
    <col min="4883" max="4883" width="5.6640625" style="1" customWidth="1"/>
    <col min="4884" max="4884" width="8.88671875" style="1"/>
    <col min="4885" max="4885" width="5.33203125" style="1" customWidth="1"/>
    <col min="4886" max="5120" width="8.88671875" style="1"/>
    <col min="5121" max="5121" width="3.33203125" style="1" customWidth="1"/>
    <col min="5122" max="5122" width="8.88671875"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8.88671875" style="1"/>
    <col min="5137" max="5137" width="7.6640625" style="1" customWidth="1"/>
    <col min="5138" max="5138" width="3.33203125" style="1" bestFit="1" customWidth="1"/>
    <col min="5139" max="5139" width="5.6640625" style="1" customWidth="1"/>
    <col min="5140" max="5140" width="8.88671875" style="1"/>
    <col min="5141" max="5141" width="5.33203125" style="1" customWidth="1"/>
    <col min="5142" max="5376" width="8.88671875" style="1"/>
    <col min="5377" max="5377" width="3.33203125" style="1" customWidth="1"/>
    <col min="5378" max="5378" width="8.88671875"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8.88671875" style="1"/>
    <col min="5393" max="5393" width="7.6640625" style="1" customWidth="1"/>
    <col min="5394" max="5394" width="3.33203125" style="1" bestFit="1" customWidth="1"/>
    <col min="5395" max="5395" width="5.6640625" style="1" customWidth="1"/>
    <col min="5396" max="5396" width="8.88671875" style="1"/>
    <col min="5397" max="5397" width="5.33203125" style="1" customWidth="1"/>
    <col min="5398" max="5632" width="8.88671875" style="1"/>
    <col min="5633" max="5633" width="3.33203125" style="1" customWidth="1"/>
    <col min="5634" max="5634" width="8.88671875"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8.88671875" style="1"/>
    <col min="5649" max="5649" width="7.6640625" style="1" customWidth="1"/>
    <col min="5650" max="5650" width="3.33203125" style="1" bestFit="1" customWidth="1"/>
    <col min="5651" max="5651" width="5.6640625" style="1" customWidth="1"/>
    <col min="5652" max="5652" width="8.88671875" style="1"/>
    <col min="5653" max="5653" width="5.33203125" style="1" customWidth="1"/>
    <col min="5654" max="5888" width="8.88671875" style="1"/>
    <col min="5889" max="5889" width="3.33203125" style="1" customWidth="1"/>
    <col min="5890" max="5890" width="8.88671875"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8.88671875" style="1"/>
    <col min="5905" max="5905" width="7.6640625" style="1" customWidth="1"/>
    <col min="5906" max="5906" width="3.33203125" style="1" bestFit="1" customWidth="1"/>
    <col min="5907" max="5907" width="5.6640625" style="1" customWidth="1"/>
    <col min="5908" max="5908" width="8.88671875" style="1"/>
    <col min="5909" max="5909" width="5.33203125" style="1" customWidth="1"/>
    <col min="5910" max="6144" width="8.88671875" style="1"/>
    <col min="6145" max="6145" width="3.33203125" style="1" customWidth="1"/>
    <col min="6146" max="6146" width="8.88671875"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8.88671875" style="1"/>
    <col min="6161" max="6161" width="7.6640625" style="1" customWidth="1"/>
    <col min="6162" max="6162" width="3.33203125" style="1" bestFit="1" customWidth="1"/>
    <col min="6163" max="6163" width="5.6640625" style="1" customWidth="1"/>
    <col min="6164" max="6164" width="8.88671875" style="1"/>
    <col min="6165" max="6165" width="5.33203125" style="1" customWidth="1"/>
    <col min="6166" max="6400" width="8.88671875" style="1"/>
    <col min="6401" max="6401" width="3.33203125" style="1" customWidth="1"/>
    <col min="6402" max="6402" width="8.88671875"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8.88671875" style="1"/>
    <col min="6417" max="6417" width="7.6640625" style="1" customWidth="1"/>
    <col min="6418" max="6418" width="3.33203125" style="1" bestFit="1" customWidth="1"/>
    <col min="6419" max="6419" width="5.6640625" style="1" customWidth="1"/>
    <col min="6420" max="6420" width="8.88671875" style="1"/>
    <col min="6421" max="6421" width="5.33203125" style="1" customWidth="1"/>
    <col min="6422" max="6656" width="8.88671875" style="1"/>
    <col min="6657" max="6657" width="3.33203125" style="1" customWidth="1"/>
    <col min="6658" max="6658" width="8.88671875"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8.88671875" style="1"/>
    <col min="6673" max="6673" width="7.6640625" style="1" customWidth="1"/>
    <col min="6674" max="6674" width="3.33203125" style="1" bestFit="1" customWidth="1"/>
    <col min="6675" max="6675" width="5.6640625" style="1" customWidth="1"/>
    <col min="6676" max="6676" width="8.88671875" style="1"/>
    <col min="6677" max="6677" width="5.33203125" style="1" customWidth="1"/>
    <col min="6678" max="6912" width="8.88671875" style="1"/>
    <col min="6913" max="6913" width="3.33203125" style="1" customWidth="1"/>
    <col min="6914" max="6914" width="8.88671875"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8.88671875" style="1"/>
    <col min="6929" max="6929" width="7.6640625" style="1" customWidth="1"/>
    <col min="6930" max="6930" width="3.33203125" style="1" bestFit="1" customWidth="1"/>
    <col min="6931" max="6931" width="5.6640625" style="1" customWidth="1"/>
    <col min="6932" max="6932" width="8.88671875" style="1"/>
    <col min="6933" max="6933" width="5.33203125" style="1" customWidth="1"/>
    <col min="6934" max="7168" width="8.88671875" style="1"/>
    <col min="7169" max="7169" width="3.33203125" style="1" customWidth="1"/>
    <col min="7170" max="7170" width="8.88671875"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8.88671875" style="1"/>
    <col min="7185" max="7185" width="7.6640625" style="1" customWidth="1"/>
    <col min="7186" max="7186" width="3.33203125" style="1" bestFit="1" customWidth="1"/>
    <col min="7187" max="7187" width="5.6640625" style="1" customWidth="1"/>
    <col min="7188" max="7188" width="8.88671875" style="1"/>
    <col min="7189" max="7189" width="5.33203125" style="1" customWidth="1"/>
    <col min="7190" max="7424" width="8.88671875" style="1"/>
    <col min="7425" max="7425" width="3.33203125" style="1" customWidth="1"/>
    <col min="7426" max="7426" width="8.88671875"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8.88671875" style="1"/>
    <col min="7441" max="7441" width="7.6640625" style="1" customWidth="1"/>
    <col min="7442" max="7442" width="3.33203125" style="1" bestFit="1" customWidth="1"/>
    <col min="7443" max="7443" width="5.6640625" style="1" customWidth="1"/>
    <col min="7444" max="7444" width="8.88671875" style="1"/>
    <col min="7445" max="7445" width="5.33203125" style="1" customWidth="1"/>
    <col min="7446" max="7680" width="8.88671875" style="1"/>
    <col min="7681" max="7681" width="3.33203125" style="1" customWidth="1"/>
    <col min="7682" max="7682" width="8.88671875"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8.88671875" style="1"/>
    <col min="7697" max="7697" width="7.6640625" style="1" customWidth="1"/>
    <col min="7698" max="7698" width="3.33203125" style="1" bestFit="1" customWidth="1"/>
    <col min="7699" max="7699" width="5.6640625" style="1" customWidth="1"/>
    <col min="7700" max="7700" width="8.88671875" style="1"/>
    <col min="7701" max="7701" width="5.33203125" style="1" customWidth="1"/>
    <col min="7702" max="7936" width="8.88671875" style="1"/>
    <col min="7937" max="7937" width="3.33203125" style="1" customWidth="1"/>
    <col min="7938" max="7938" width="8.88671875"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8.88671875" style="1"/>
    <col min="7953" max="7953" width="7.6640625" style="1" customWidth="1"/>
    <col min="7954" max="7954" width="3.33203125" style="1" bestFit="1" customWidth="1"/>
    <col min="7955" max="7955" width="5.6640625" style="1" customWidth="1"/>
    <col min="7956" max="7956" width="8.88671875" style="1"/>
    <col min="7957" max="7957" width="5.33203125" style="1" customWidth="1"/>
    <col min="7958" max="8192" width="8.88671875" style="1"/>
    <col min="8193" max="8193" width="3.33203125" style="1" customWidth="1"/>
    <col min="8194" max="8194" width="8.88671875"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8.88671875" style="1"/>
    <col min="8209" max="8209" width="7.6640625" style="1" customWidth="1"/>
    <col min="8210" max="8210" width="3.33203125" style="1" bestFit="1" customWidth="1"/>
    <col min="8211" max="8211" width="5.6640625" style="1" customWidth="1"/>
    <col min="8212" max="8212" width="8.88671875" style="1"/>
    <col min="8213" max="8213" width="5.33203125" style="1" customWidth="1"/>
    <col min="8214" max="8448" width="8.88671875" style="1"/>
    <col min="8449" max="8449" width="3.33203125" style="1" customWidth="1"/>
    <col min="8450" max="8450" width="8.88671875"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8.88671875" style="1"/>
    <col min="8465" max="8465" width="7.6640625" style="1" customWidth="1"/>
    <col min="8466" max="8466" width="3.33203125" style="1" bestFit="1" customWidth="1"/>
    <col min="8467" max="8467" width="5.6640625" style="1" customWidth="1"/>
    <col min="8468" max="8468" width="8.88671875" style="1"/>
    <col min="8469" max="8469" width="5.33203125" style="1" customWidth="1"/>
    <col min="8470" max="8704" width="8.88671875" style="1"/>
    <col min="8705" max="8705" width="3.33203125" style="1" customWidth="1"/>
    <col min="8706" max="8706" width="8.88671875"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8.88671875" style="1"/>
    <col min="8721" max="8721" width="7.6640625" style="1" customWidth="1"/>
    <col min="8722" max="8722" width="3.33203125" style="1" bestFit="1" customWidth="1"/>
    <col min="8723" max="8723" width="5.6640625" style="1" customWidth="1"/>
    <col min="8724" max="8724" width="8.88671875" style="1"/>
    <col min="8725" max="8725" width="5.33203125" style="1" customWidth="1"/>
    <col min="8726" max="8960" width="8.88671875" style="1"/>
    <col min="8961" max="8961" width="3.33203125" style="1" customWidth="1"/>
    <col min="8962" max="8962" width="8.88671875"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8.88671875" style="1"/>
    <col min="8977" max="8977" width="7.6640625" style="1" customWidth="1"/>
    <col min="8978" max="8978" width="3.33203125" style="1" bestFit="1" customWidth="1"/>
    <col min="8979" max="8979" width="5.6640625" style="1" customWidth="1"/>
    <col min="8980" max="8980" width="8.88671875" style="1"/>
    <col min="8981" max="8981" width="5.33203125" style="1" customWidth="1"/>
    <col min="8982" max="9216" width="8.88671875" style="1"/>
    <col min="9217" max="9217" width="3.33203125" style="1" customWidth="1"/>
    <col min="9218" max="9218" width="8.88671875"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8.88671875" style="1"/>
    <col min="9233" max="9233" width="7.6640625" style="1" customWidth="1"/>
    <col min="9234" max="9234" width="3.33203125" style="1" bestFit="1" customWidth="1"/>
    <col min="9235" max="9235" width="5.6640625" style="1" customWidth="1"/>
    <col min="9236" max="9236" width="8.88671875" style="1"/>
    <col min="9237" max="9237" width="5.33203125" style="1" customWidth="1"/>
    <col min="9238" max="9472" width="8.88671875" style="1"/>
    <col min="9473" max="9473" width="3.33203125" style="1" customWidth="1"/>
    <col min="9474" max="9474" width="8.88671875"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8.88671875" style="1"/>
    <col min="9489" max="9489" width="7.6640625" style="1" customWidth="1"/>
    <col min="9490" max="9490" width="3.33203125" style="1" bestFit="1" customWidth="1"/>
    <col min="9491" max="9491" width="5.6640625" style="1" customWidth="1"/>
    <col min="9492" max="9492" width="8.88671875" style="1"/>
    <col min="9493" max="9493" width="5.33203125" style="1" customWidth="1"/>
    <col min="9494" max="9728" width="8.88671875" style="1"/>
    <col min="9729" max="9729" width="3.33203125" style="1" customWidth="1"/>
    <col min="9730" max="9730" width="8.88671875"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8.88671875" style="1"/>
    <col min="9745" max="9745" width="7.6640625" style="1" customWidth="1"/>
    <col min="9746" max="9746" width="3.33203125" style="1" bestFit="1" customWidth="1"/>
    <col min="9747" max="9747" width="5.6640625" style="1" customWidth="1"/>
    <col min="9748" max="9748" width="8.88671875" style="1"/>
    <col min="9749" max="9749" width="5.33203125" style="1" customWidth="1"/>
    <col min="9750" max="9984" width="8.88671875" style="1"/>
    <col min="9985" max="9985" width="3.33203125" style="1" customWidth="1"/>
    <col min="9986" max="9986" width="8.88671875"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8.88671875" style="1"/>
    <col min="10001" max="10001" width="7.6640625" style="1" customWidth="1"/>
    <col min="10002" max="10002" width="3.33203125" style="1" bestFit="1" customWidth="1"/>
    <col min="10003" max="10003" width="5.6640625" style="1" customWidth="1"/>
    <col min="10004" max="10004" width="8.88671875" style="1"/>
    <col min="10005" max="10005" width="5.33203125" style="1" customWidth="1"/>
    <col min="10006" max="10240" width="8.88671875" style="1"/>
    <col min="10241" max="10241" width="3.33203125" style="1" customWidth="1"/>
    <col min="10242" max="10242" width="8.88671875"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8.88671875" style="1"/>
    <col min="10257" max="10257" width="7.6640625" style="1" customWidth="1"/>
    <col min="10258" max="10258" width="3.33203125" style="1" bestFit="1" customWidth="1"/>
    <col min="10259" max="10259" width="5.6640625" style="1" customWidth="1"/>
    <col min="10260" max="10260" width="8.88671875" style="1"/>
    <col min="10261" max="10261" width="5.33203125" style="1" customWidth="1"/>
    <col min="10262" max="10496" width="8.88671875" style="1"/>
    <col min="10497" max="10497" width="3.33203125" style="1" customWidth="1"/>
    <col min="10498" max="10498" width="8.88671875"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8.88671875" style="1"/>
    <col min="10513" max="10513" width="7.6640625" style="1" customWidth="1"/>
    <col min="10514" max="10514" width="3.33203125" style="1" bestFit="1" customWidth="1"/>
    <col min="10515" max="10515" width="5.6640625" style="1" customWidth="1"/>
    <col min="10516" max="10516" width="8.88671875" style="1"/>
    <col min="10517" max="10517" width="5.33203125" style="1" customWidth="1"/>
    <col min="10518" max="10752" width="8.88671875" style="1"/>
    <col min="10753" max="10753" width="3.33203125" style="1" customWidth="1"/>
    <col min="10754" max="10754" width="8.88671875"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8.88671875" style="1"/>
    <col min="10769" max="10769" width="7.6640625" style="1" customWidth="1"/>
    <col min="10770" max="10770" width="3.33203125" style="1" bestFit="1" customWidth="1"/>
    <col min="10771" max="10771" width="5.6640625" style="1" customWidth="1"/>
    <col min="10772" max="10772" width="8.88671875" style="1"/>
    <col min="10773" max="10773" width="5.33203125" style="1" customWidth="1"/>
    <col min="10774" max="11008" width="8.88671875" style="1"/>
    <col min="11009" max="11009" width="3.33203125" style="1" customWidth="1"/>
    <col min="11010" max="11010" width="8.88671875"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8.88671875" style="1"/>
    <col min="11025" max="11025" width="7.6640625" style="1" customWidth="1"/>
    <col min="11026" max="11026" width="3.33203125" style="1" bestFit="1" customWidth="1"/>
    <col min="11027" max="11027" width="5.6640625" style="1" customWidth="1"/>
    <col min="11028" max="11028" width="8.88671875" style="1"/>
    <col min="11029" max="11029" width="5.33203125" style="1" customWidth="1"/>
    <col min="11030" max="11264" width="8.88671875" style="1"/>
    <col min="11265" max="11265" width="3.33203125" style="1" customWidth="1"/>
    <col min="11266" max="11266" width="8.88671875"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8.88671875" style="1"/>
    <col min="11281" max="11281" width="7.6640625" style="1" customWidth="1"/>
    <col min="11282" max="11282" width="3.33203125" style="1" bestFit="1" customWidth="1"/>
    <col min="11283" max="11283" width="5.6640625" style="1" customWidth="1"/>
    <col min="11284" max="11284" width="8.88671875" style="1"/>
    <col min="11285" max="11285" width="5.33203125" style="1" customWidth="1"/>
    <col min="11286" max="11520" width="8.88671875" style="1"/>
    <col min="11521" max="11521" width="3.33203125" style="1" customWidth="1"/>
    <col min="11522" max="11522" width="8.88671875"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8.88671875" style="1"/>
    <col min="11537" max="11537" width="7.6640625" style="1" customWidth="1"/>
    <col min="11538" max="11538" width="3.33203125" style="1" bestFit="1" customWidth="1"/>
    <col min="11539" max="11539" width="5.6640625" style="1" customWidth="1"/>
    <col min="11540" max="11540" width="8.88671875" style="1"/>
    <col min="11541" max="11541" width="5.33203125" style="1" customWidth="1"/>
    <col min="11542" max="11776" width="8.88671875" style="1"/>
    <col min="11777" max="11777" width="3.33203125" style="1" customWidth="1"/>
    <col min="11778" max="11778" width="8.88671875"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8.88671875" style="1"/>
    <col min="11793" max="11793" width="7.6640625" style="1" customWidth="1"/>
    <col min="11794" max="11794" width="3.33203125" style="1" bestFit="1" customWidth="1"/>
    <col min="11795" max="11795" width="5.6640625" style="1" customWidth="1"/>
    <col min="11796" max="11796" width="8.88671875" style="1"/>
    <col min="11797" max="11797" width="5.33203125" style="1" customWidth="1"/>
    <col min="11798" max="12032" width="8.88671875" style="1"/>
    <col min="12033" max="12033" width="3.33203125" style="1" customWidth="1"/>
    <col min="12034" max="12034" width="8.88671875"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8.88671875" style="1"/>
    <col min="12049" max="12049" width="7.6640625" style="1" customWidth="1"/>
    <col min="12050" max="12050" width="3.33203125" style="1" bestFit="1" customWidth="1"/>
    <col min="12051" max="12051" width="5.6640625" style="1" customWidth="1"/>
    <col min="12052" max="12052" width="8.88671875" style="1"/>
    <col min="12053" max="12053" width="5.33203125" style="1" customWidth="1"/>
    <col min="12054" max="12288" width="8.88671875" style="1"/>
    <col min="12289" max="12289" width="3.33203125" style="1" customWidth="1"/>
    <col min="12290" max="12290" width="8.88671875"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8.88671875" style="1"/>
    <col min="12305" max="12305" width="7.6640625" style="1" customWidth="1"/>
    <col min="12306" max="12306" width="3.33203125" style="1" bestFit="1" customWidth="1"/>
    <col min="12307" max="12307" width="5.6640625" style="1" customWidth="1"/>
    <col min="12308" max="12308" width="8.88671875" style="1"/>
    <col min="12309" max="12309" width="5.33203125" style="1" customWidth="1"/>
    <col min="12310" max="12544" width="8.88671875" style="1"/>
    <col min="12545" max="12545" width="3.33203125" style="1" customWidth="1"/>
    <col min="12546" max="12546" width="8.88671875"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8.88671875" style="1"/>
    <col min="12561" max="12561" width="7.6640625" style="1" customWidth="1"/>
    <col min="12562" max="12562" width="3.33203125" style="1" bestFit="1" customWidth="1"/>
    <col min="12563" max="12563" width="5.6640625" style="1" customWidth="1"/>
    <col min="12564" max="12564" width="8.88671875" style="1"/>
    <col min="12565" max="12565" width="5.33203125" style="1" customWidth="1"/>
    <col min="12566" max="12800" width="8.88671875" style="1"/>
    <col min="12801" max="12801" width="3.33203125" style="1" customWidth="1"/>
    <col min="12802" max="12802" width="8.88671875"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8.88671875" style="1"/>
    <col min="12817" max="12817" width="7.6640625" style="1" customWidth="1"/>
    <col min="12818" max="12818" width="3.33203125" style="1" bestFit="1" customWidth="1"/>
    <col min="12819" max="12819" width="5.6640625" style="1" customWidth="1"/>
    <col min="12820" max="12820" width="8.88671875" style="1"/>
    <col min="12821" max="12821" width="5.33203125" style="1" customWidth="1"/>
    <col min="12822" max="13056" width="8.88671875" style="1"/>
    <col min="13057" max="13057" width="3.33203125" style="1" customWidth="1"/>
    <col min="13058" max="13058" width="8.88671875"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8.88671875" style="1"/>
    <col min="13073" max="13073" width="7.6640625" style="1" customWidth="1"/>
    <col min="13074" max="13074" width="3.33203125" style="1" bestFit="1" customWidth="1"/>
    <col min="13075" max="13075" width="5.6640625" style="1" customWidth="1"/>
    <col min="13076" max="13076" width="8.88671875" style="1"/>
    <col min="13077" max="13077" width="5.33203125" style="1" customWidth="1"/>
    <col min="13078" max="13312" width="8.88671875" style="1"/>
    <col min="13313" max="13313" width="3.33203125" style="1" customWidth="1"/>
    <col min="13314" max="13314" width="8.88671875"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8.88671875" style="1"/>
    <col min="13329" max="13329" width="7.6640625" style="1" customWidth="1"/>
    <col min="13330" max="13330" width="3.33203125" style="1" bestFit="1" customWidth="1"/>
    <col min="13331" max="13331" width="5.6640625" style="1" customWidth="1"/>
    <col min="13332" max="13332" width="8.88671875" style="1"/>
    <col min="13333" max="13333" width="5.33203125" style="1" customWidth="1"/>
    <col min="13334" max="13568" width="8.88671875" style="1"/>
    <col min="13569" max="13569" width="3.33203125" style="1" customWidth="1"/>
    <col min="13570" max="13570" width="8.88671875"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8.88671875" style="1"/>
    <col min="13585" max="13585" width="7.6640625" style="1" customWidth="1"/>
    <col min="13586" max="13586" width="3.33203125" style="1" bestFit="1" customWidth="1"/>
    <col min="13587" max="13587" width="5.6640625" style="1" customWidth="1"/>
    <col min="13588" max="13588" width="8.88671875" style="1"/>
    <col min="13589" max="13589" width="5.33203125" style="1" customWidth="1"/>
    <col min="13590" max="13824" width="8.88671875" style="1"/>
    <col min="13825" max="13825" width="3.33203125" style="1" customWidth="1"/>
    <col min="13826" max="13826" width="8.88671875"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8.88671875" style="1"/>
    <col min="13841" max="13841" width="7.6640625" style="1" customWidth="1"/>
    <col min="13842" max="13842" width="3.33203125" style="1" bestFit="1" customWidth="1"/>
    <col min="13843" max="13843" width="5.6640625" style="1" customWidth="1"/>
    <col min="13844" max="13844" width="8.88671875" style="1"/>
    <col min="13845" max="13845" width="5.33203125" style="1" customWidth="1"/>
    <col min="13846" max="14080" width="8.88671875" style="1"/>
    <col min="14081" max="14081" width="3.33203125" style="1" customWidth="1"/>
    <col min="14082" max="14082" width="8.88671875"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8.88671875" style="1"/>
    <col min="14097" max="14097" width="7.6640625" style="1" customWidth="1"/>
    <col min="14098" max="14098" width="3.33203125" style="1" bestFit="1" customWidth="1"/>
    <col min="14099" max="14099" width="5.6640625" style="1" customWidth="1"/>
    <col min="14100" max="14100" width="8.88671875" style="1"/>
    <col min="14101" max="14101" width="5.33203125" style="1" customWidth="1"/>
    <col min="14102" max="14336" width="8.88671875" style="1"/>
    <col min="14337" max="14337" width="3.33203125" style="1" customWidth="1"/>
    <col min="14338" max="14338" width="8.88671875"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8.88671875" style="1"/>
    <col min="14353" max="14353" width="7.6640625" style="1" customWidth="1"/>
    <col min="14354" max="14354" width="3.33203125" style="1" bestFit="1" customWidth="1"/>
    <col min="14355" max="14355" width="5.6640625" style="1" customWidth="1"/>
    <col min="14356" max="14356" width="8.88671875" style="1"/>
    <col min="14357" max="14357" width="5.33203125" style="1" customWidth="1"/>
    <col min="14358" max="14592" width="8.88671875" style="1"/>
    <col min="14593" max="14593" width="3.33203125" style="1" customWidth="1"/>
    <col min="14594" max="14594" width="8.88671875"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8.88671875" style="1"/>
    <col min="14609" max="14609" width="7.6640625" style="1" customWidth="1"/>
    <col min="14610" max="14610" width="3.33203125" style="1" bestFit="1" customWidth="1"/>
    <col min="14611" max="14611" width="5.6640625" style="1" customWidth="1"/>
    <col min="14612" max="14612" width="8.88671875" style="1"/>
    <col min="14613" max="14613" width="5.33203125" style="1" customWidth="1"/>
    <col min="14614" max="14848" width="8.88671875" style="1"/>
    <col min="14849" max="14849" width="3.33203125" style="1" customWidth="1"/>
    <col min="14850" max="14850" width="8.88671875"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8.88671875" style="1"/>
    <col min="14865" max="14865" width="7.6640625" style="1" customWidth="1"/>
    <col min="14866" max="14866" width="3.33203125" style="1" bestFit="1" customWidth="1"/>
    <col min="14867" max="14867" width="5.6640625" style="1" customWidth="1"/>
    <col min="14868" max="14868" width="8.88671875" style="1"/>
    <col min="14869" max="14869" width="5.33203125" style="1" customWidth="1"/>
    <col min="14870" max="15104" width="8.88671875" style="1"/>
    <col min="15105" max="15105" width="3.33203125" style="1" customWidth="1"/>
    <col min="15106" max="15106" width="8.88671875"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8.88671875" style="1"/>
    <col min="15121" max="15121" width="7.6640625" style="1" customWidth="1"/>
    <col min="15122" max="15122" width="3.33203125" style="1" bestFit="1" customWidth="1"/>
    <col min="15123" max="15123" width="5.6640625" style="1" customWidth="1"/>
    <col min="15124" max="15124" width="8.88671875" style="1"/>
    <col min="15125" max="15125" width="5.33203125" style="1" customWidth="1"/>
    <col min="15126" max="15360" width="8.88671875" style="1"/>
    <col min="15361" max="15361" width="3.33203125" style="1" customWidth="1"/>
    <col min="15362" max="15362" width="8.88671875"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8.88671875" style="1"/>
    <col min="15377" max="15377" width="7.6640625" style="1" customWidth="1"/>
    <col min="15378" max="15378" width="3.33203125" style="1" bestFit="1" customWidth="1"/>
    <col min="15379" max="15379" width="5.6640625" style="1" customWidth="1"/>
    <col min="15380" max="15380" width="8.88671875" style="1"/>
    <col min="15381" max="15381" width="5.33203125" style="1" customWidth="1"/>
    <col min="15382" max="15616" width="8.88671875" style="1"/>
    <col min="15617" max="15617" width="3.33203125" style="1" customWidth="1"/>
    <col min="15618" max="15618" width="8.88671875"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8.88671875" style="1"/>
    <col min="15633" max="15633" width="7.6640625" style="1" customWidth="1"/>
    <col min="15634" max="15634" width="3.33203125" style="1" bestFit="1" customWidth="1"/>
    <col min="15635" max="15635" width="5.6640625" style="1" customWidth="1"/>
    <col min="15636" max="15636" width="8.88671875" style="1"/>
    <col min="15637" max="15637" width="5.33203125" style="1" customWidth="1"/>
    <col min="15638" max="15872" width="8.88671875" style="1"/>
    <col min="15873" max="15873" width="3.33203125" style="1" customWidth="1"/>
    <col min="15874" max="15874" width="8.88671875"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8.88671875" style="1"/>
    <col min="15889" max="15889" width="7.6640625" style="1" customWidth="1"/>
    <col min="15890" max="15890" width="3.33203125" style="1" bestFit="1" customWidth="1"/>
    <col min="15891" max="15891" width="5.6640625" style="1" customWidth="1"/>
    <col min="15892" max="15892" width="8.88671875" style="1"/>
    <col min="15893" max="15893" width="5.33203125" style="1" customWidth="1"/>
    <col min="15894" max="16128" width="8.88671875" style="1"/>
    <col min="16129" max="16129" width="3.33203125" style="1" customWidth="1"/>
    <col min="16130" max="16130" width="8.88671875"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8.88671875" style="1"/>
    <col min="16145" max="16145" width="7.6640625" style="1" customWidth="1"/>
    <col min="16146" max="16146" width="3.33203125" style="1" bestFit="1" customWidth="1"/>
    <col min="16147" max="16147" width="5.6640625" style="1" customWidth="1"/>
    <col min="16148" max="16148" width="8.88671875" style="1"/>
    <col min="16149" max="16149" width="5.33203125" style="1" customWidth="1"/>
    <col min="16150" max="16384" width="8.88671875" style="1"/>
  </cols>
  <sheetData>
    <row r="1" spans="1:29" ht="13.5" customHeight="1" x14ac:dyDescent="0.2">
      <c r="A1" s="243"/>
      <c r="B1" s="186"/>
      <c r="C1" s="186"/>
      <c r="D1" s="186"/>
      <c r="E1" s="186"/>
      <c r="F1" s="186"/>
      <c r="G1" s="186"/>
      <c r="H1" s="186"/>
      <c r="I1" s="186"/>
      <c r="J1" s="186"/>
      <c r="K1" s="186"/>
      <c r="L1" s="186"/>
      <c r="M1" s="569"/>
      <c r="N1" s="570"/>
      <c r="O1" s="570"/>
      <c r="P1" s="570"/>
      <c r="Q1" s="570"/>
      <c r="R1" s="570"/>
      <c r="S1" s="363"/>
      <c r="T1" s="186"/>
      <c r="U1" s="186"/>
      <c r="V1" s="186"/>
      <c r="W1" s="186"/>
      <c r="X1" s="186"/>
      <c r="Y1" s="186"/>
      <c r="Z1" s="186"/>
      <c r="AA1" s="186"/>
      <c r="AB1" s="186"/>
      <c r="AC1" s="186"/>
    </row>
    <row r="2" spans="1:29" ht="13.5" customHeight="1" x14ac:dyDescent="0.2">
      <c r="A2" s="446"/>
      <c r="B2" s="549" t="s">
        <v>397</v>
      </c>
      <c r="C2" s="549"/>
      <c r="D2" s="549"/>
      <c r="E2" s="549"/>
      <c r="F2" s="549"/>
      <c r="G2" s="549"/>
      <c r="H2" s="549"/>
      <c r="I2" s="549"/>
      <c r="J2" s="549"/>
      <c r="K2" s="549"/>
      <c r="L2" s="549"/>
      <c r="M2" s="549"/>
      <c r="N2" s="549"/>
      <c r="O2" s="549"/>
      <c r="P2" s="549"/>
      <c r="Q2" s="549"/>
      <c r="R2" s="549"/>
      <c r="S2" s="362"/>
      <c r="T2" s="186"/>
      <c r="U2" s="186"/>
      <c r="V2" s="186"/>
      <c r="W2" s="186"/>
      <c r="X2" s="186"/>
      <c r="Y2" s="186"/>
      <c r="Z2" s="186"/>
      <c r="AA2" s="186"/>
      <c r="AB2" s="186"/>
      <c r="AC2" s="186"/>
    </row>
    <row r="3" spans="1:29" ht="13.5" customHeight="1" x14ac:dyDescent="0.2">
      <c r="A3" s="446"/>
      <c r="B3" s="362"/>
      <c r="C3" s="561" t="s">
        <v>324</v>
      </c>
      <c r="D3" s="561"/>
      <c r="E3" s="561"/>
      <c r="F3" s="561"/>
      <c r="G3" s="561"/>
      <c r="H3" s="561"/>
      <c r="I3" s="561"/>
      <c r="J3" s="561"/>
      <c r="K3" s="561"/>
      <c r="L3" s="561"/>
      <c r="M3" s="561"/>
      <c r="N3" s="561"/>
      <c r="O3" s="561"/>
      <c r="P3" s="561"/>
      <c r="Q3" s="561"/>
      <c r="R3" s="561"/>
      <c r="S3" s="561"/>
      <c r="T3" s="186"/>
      <c r="U3" s="186"/>
      <c r="V3" s="186"/>
      <c r="W3" s="186"/>
      <c r="X3" s="186"/>
      <c r="Y3" s="186"/>
      <c r="Z3" s="186"/>
      <c r="AA3" s="186"/>
      <c r="AB3" s="186"/>
      <c r="AC3" s="186"/>
    </row>
    <row r="4" spans="1:29" ht="13.5" customHeight="1" x14ac:dyDescent="0.2">
      <c r="A4" s="243" t="s">
        <v>1</v>
      </c>
      <c r="B4" s="186"/>
      <c r="C4" s="522" t="s">
        <v>478</v>
      </c>
      <c r="D4" s="522"/>
      <c r="E4" s="522"/>
      <c r="F4" s="522"/>
      <c r="G4" s="522"/>
      <c r="H4" s="522"/>
      <c r="I4" s="522"/>
      <c r="J4" s="522"/>
      <c r="K4" s="522"/>
      <c r="L4" s="522"/>
      <c r="M4" s="522"/>
      <c r="N4" s="522"/>
      <c r="O4" s="522"/>
      <c r="P4" s="522"/>
      <c r="Q4" s="522"/>
      <c r="R4" s="522"/>
      <c r="S4" s="522"/>
      <c r="T4" s="186"/>
      <c r="U4" s="186"/>
      <c r="V4" s="186"/>
      <c r="W4" s="186"/>
      <c r="X4" s="186"/>
      <c r="Y4" s="186"/>
      <c r="Z4" s="186"/>
      <c r="AA4" s="186"/>
      <c r="AB4" s="186" t="s">
        <v>319</v>
      </c>
      <c r="AC4" s="186"/>
    </row>
    <row r="5" spans="1:29" ht="13.5" customHeight="1" x14ac:dyDescent="0.2">
      <c r="A5" s="243"/>
      <c r="B5" s="186"/>
      <c r="C5" s="186"/>
      <c r="D5" s="188" t="s">
        <v>259</v>
      </c>
      <c r="E5" s="186"/>
      <c r="F5" s="186"/>
      <c r="G5" s="186"/>
      <c r="H5" s="189" t="str">
        <f>HYPERLINK("#手引き!B46","手引きへ戻る")</f>
        <v>手引きへ戻る</v>
      </c>
      <c r="I5" s="186"/>
      <c r="J5" s="186"/>
      <c r="K5" s="186"/>
      <c r="L5" s="186"/>
      <c r="M5" s="186"/>
      <c r="N5" s="186"/>
      <c r="O5" s="186"/>
      <c r="P5" s="186"/>
      <c r="Q5" s="186"/>
      <c r="R5" s="186"/>
      <c r="S5" s="186"/>
      <c r="T5" s="186"/>
      <c r="U5" s="186" t="s">
        <v>317</v>
      </c>
      <c r="V5" s="186"/>
      <c r="W5" s="239"/>
      <c r="X5" s="186"/>
      <c r="Y5" s="186"/>
      <c r="Z5" s="186"/>
      <c r="AA5" s="186"/>
      <c r="AB5" s="186" t="s">
        <v>429</v>
      </c>
      <c r="AC5" s="186" t="s">
        <v>430</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50"/>
      <c r="C7" s="552" t="s">
        <v>3</v>
      </c>
      <c r="D7" s="552"/>
      <c r="E7" s="552"/>
      <c r="F7" s="552"/>
      <c r="G7" s="552"/>
      <c r="H7" s="553"/>
      <c r="I7" s="554" t="s">
        <v>4</v>
      </c>
      <c r="J7" s="555"/>
      <c r="K7" s="555"/>
      <c r="L7" s="555"/>
      <c r="M7" s="555"/>
      <c r="N7" s="556"/>
      <c r="O7" s="186"/>
      <c r="P7" s="550"/>
      <c r="Q7" s="566" t="s">
        <v>5</v>
      </c>
      <c r="R7" s="560"/>
      <c r="S7" s="192"/>
      <c r="T7" s="186"/>
      <c r="U7" s="550"/>
      <c r="V7" s="552" t="s">
        <v>5</v>
      </c>
      <c r="W7" s="560"/>
      <c r="X7" s="550"/>
      <c r="Y7" s="552" t="s">
        <v>5</v>
      </c>
      <c r="Z7" s="560"/>
      <c r="AA7" s="186"/>
      <c r="AB7" s="191"/>
      <c r="AC7" s="191" t="str">
        <f>HLOOKUP($AC$5,名前2!$C:$J,3,0)</f>
        <v>「普通自動車」という。）又は小型自動車（以下「小型</v>
      </c>
    </row>
    <row r="8" spans="1:29" s="2" customFormat="1" ht="30" customHeight="1" thickBot="1" x14ac:dyDescent="0.25">
      <c r="A8" s="449" t="str">
        <f>IF(COUNTIF(A9:A14,"○")=0,"無","")</f>
        <v>無</v>
      </c>
      <c r="B8" s="551"/>
      <c r="C8" s="542" t="s">
        <v>30</v>
      </c>
      <c r="D8" s="543"/>
      <c r="E8" s="544" t="s">
        <v>6</v>
      </c>
      <c r="F8" s="545"/>
      <c r="G8" s="545"/>
      <c r="H8" s="546"/>
      <c r="I8" s="557"/>
      <c r="J8" s="558"/>
      <c r="K8" s="558"/>
      <c r="L8" s="558"/>
      <c r="M8" s="558"/>
      <c r="N8" s="559"/>
      <c r="O8" s="366" t="str">
        <f>IF(COUNTIF(O9:O14,"○")=0,"無","")</f>
        <v>無</v>
      </c>
      <c r="P8" s="551"/>
      <c r="Q8" s="547">
        <v>30</v>
      </c>
      <c r="R8" s="548"/>
      <c r="S8" s="194"/>
      <c r="T8" s="365"/>
      <c r="U8" s="551"/>
      <c r="V8" s="547">
        <v>15</v>
      </c>
      <c r="W8" s="548"/>
      <c r="X8" s="551"/>
      <c r="Y8" s="547">
        <v>10</v>
      </c>
      <c r="Z8" s="548"/>
      <c r="AA8" s="365"/>
      <c r="AB8" s="367"/>
      <c r="AC8" s="367" t="str">
        <f>HLOOKUP($AC$5,名前2!$C:$J,4,0)</f>
        <v>自動車」という。）のうち乗車定員が７名以上のもの。</v>
      </c>
    </row>
    <row r="9" spans="1:29" ht="16.5" customHeight="1" thickTop="1" x14ac:dyDescent="0.2">
      <c r="A9" s="448"/>
      <c r="B9" s="195" t="s">
        <v>8</v>
      </c>
      <c r="C9" s="280">
        <v>800</v>
      </c>
      <c r="D9" s="281" t="s">
        <v>9</v>
      </c>
      <c r="E9" s="282">
        <v>176</v>
      </c>
      <c r="F9" s="283" t="s">
        <v>10</v>
      </c>
      <c r="G9" s="283">
        <v>100</v>
      </c>
      <c r="H9" s="281" t="s">
        <v>9</v>
      </c>
      <c r="I9" s="284">
        <f t="shared" ref="I9:I14" si="0">TRUNC(CEILING(ROUND(E9*0.36,0),5)/60,0)</f>
        <v>1</v>
      </c>
      <c r="J9" s="285" t="s">
        <v>11</v>
      </c>
      <c r="K9" s="286">
        <f t="shared" ref="K9:K14" si="1">TRUNC(CEILING(ROUNDUP(E9*0.36,0),5)-I9*60,0)</f>
        <v>5</v>
      </c>
      <c r="L9" s="287" t="s">
        <v>12</v>
      </c>
      <c r="M9" s="283">
        <f t="shared" ref="M9:M14" si="2">$G$9</f>
        <v>100</v>
      </c>
      <c r="N9" s="288" t="s">
        <v>9</v>
      </c>
      <c r="O9" s="185"/>
      <c r="P9" s="195" t="s">
        <v>8</v>
      </c>
      <c r="Q9" s="289">
        <v>3700</v>
      </c>
      <c r="R9" s="288" t="s">
        <v>9</v>
      </c>
      <c r="S9" s="208"/>
      <c r="T9" s="186"/>
      <c r="U9" s="195" t="str">
        <f>P9</f>
        <v>上限運賃</v>
      </c>
      <c r="V9" s="207">
        <f>ROUNDDOWN($Q9*$V$8/$Q$8,-1)</f>
        <v>1850</v>
      </c>
      <c r="W9" s="209" t="s">
        <v>9</v>
      </c>
      <c r="X9" s="195" t="str">
        <f>P9</f>
        <v>上限運賃</v>
      </c>
      <c r="Y9" s="207">
        <f>ROUNDDOWN($Q9*$Y$8/$Q$8,-1)</f>
        <v>1230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364" t="s">
        <v>13</v>
      </c>
      <c r="C10" s="290">
        <f>C9-10</f>
        <v>790</v>
      </c>
      <c r="D10" s="291" t="s">
        <v>9</v>
      </c>
      <c r="E10" s="292">
        <f>ROUND(E$9/(C10/C$9),0)</f>
        <v>178</v>
      </c>
      <c r="F10" s="293" t="s">
        <v>10</v>
      </c>
      <c r="G10" s="293">
        <f>$G$9</f>
        <v>100</v>
      </c>
      <c r="H10" s="291" t="s">
        <v>9</v>
      </c>
      <c r="I10" s="292">
        <f t="shared" si="0"/>
        <v>1</v>
      </c>
      <c r="J10" s="294" t="s">
        <v>11</v>
      </c>
      <c r="K10" s="295">
        <f t="shared" si="1"/>
        <v>5</v>
      </c>
      <c r="L10" s="296" t="s">
        <v>12</v>
      </c>
      <c r="M10" s="293">
        <f t="shared" si="2"/>
        <v>100</v>
      </c>
      <c r="N10" s="297" t="s">
        <v>9</v>
      </c>
      <c r="O10" s="185"/>
      <c r="P10" s="364" t="s">
        <v>13</v>
      </c>
      <c r="Q10" s="298">
        <f>ROUNDUP((C10/C$9)*Q$9,-1)</f>
        <v>3660</v>
      </c>
      <c r="R10" s="297" t="s">
        <v>9</v>
      </c>
      <c r="S10" s="208"/>
      <c r="T10" s="186"/>
      <c r="U10" s="364" t="str">
        <f t="shared" ref="U10:U14" si="3">P10</f>
        <v>Ｂ運賃</v>
      </c>
      <c r="V10" s="234">
        <f t="shared" ref="V10:V14" si="4">ROUNDDOWN($Q10*$V$8/$Q$8,-1)</f>
        <v>1830</v>
      </c>
      <c r="W10" s="232" t="s">
        <v>9</v>
      </c>
      <c r="X10" s="364" t="str">
        <f t="shared" ref="X10:X14" si="5">P10</f>
        <v>Ｂ運賃</v>
      </c>
      <c r="Y10" s="234">
        <f t="shared" ref="Y10:Y14" si="6">ROUNDDOWN($Q10*$Y$8/$Q$8,-1)</f>
        <v>1220</v>
      </c>
      <c r="Z10" s="232" t="s">
        <v>9</v>
      </c>
      <c r="AA10" s="186"/>
      <c r="AB10" s="191"/>
      <c r="AC10" s="191" t="str">
        <f>HLOOKUP($AC$5,名前2!$C:$J,6,0)</f>
        <v>動車にあっては２．５リットル。）を超えるもので</v>
      </c>
    </row>
    <row r="11" spans="1:29" ht="16.5" customHeight="1" x14ac:dyDescent="0.2">
      <c r="A11" s="448"/>
      <c r="B11" s="364" t="s">
        <v>381</v>
      </c>
      <c r="C11" s="290">
        <f>C10-10</f>
        <v>780</v>
      </c>
      <c r="D11" s="291" t="s">
        <v>9</v>
      </c>
      <c r="E11" s="292">
        <f>ROUND(E$9/(C11/C$9),0)</f>
        <v>181</v>
      </c>
      <c r="F11" s="293" t="s">
        <v>10</v>
      </c>
      <c r="G11" s="293">
        <f>$G$9</f>
        <v>100</v>
      </c>
      <c r="H11" s="291" t="s">
        <v>9</v>
      </c>
      <c r="I11" s="292">
        <f t="shared" si="0"/>
        <v>1</v>
      </c>
      <c r="J11" s="294" t="s">
        <v>11</v>
      </c>
      <c r="K11" s="295">
        <f t="shared" si="1"/>
        <v>10</v>
      </c>
      <c r="L11" s="296" t="s">
        <v>12</v>
      </c>
      <c r="M11" s="293">
        <f t="shared" si="2"/>
        <v>100</v>
      </c>
      <c r="N11" s="297" t="s">
        <v>9</v>
      </c>
      <c r="O11" s="185"/>
      <c r="P11" s="364" t="s">
        <v>381</v>
      </c>
      <c r="Q11" s="298">
        <f>ROUNDUP((C11/C$9)*Q$9,-1)</f>
        <v>3610</v>
      </c>
      <c r="R11" s="297" t="s">
        <v>9</v>
      </c>
      <c r="S11" s="208"/>
      <c r="T11" s="186"/>
      <c r="U11" s="364" t="str">
        <f t="shared" si="3"/>
        <v>C運賃</v>
      </c>
      <c r="V11" s="234">
        <f t="shared" si="4"/>
        <v>1800</v>
      </c>
      <c r="W11" s="232" t="s">
        <v>9</v>
      </c>
      <c r="X11" s="364" t="str">
        <f t="shared" si="5"/>
        <v>C運賃</v>
      </c>
      <c r="Y11" s="234">
        <f t="shared" si="6"/>
        <v>1200</v>
      </c>
      <c r="Z11" s="232" t="s">
        <v>9</v>
      </c>
      <c r="AA11" s="186"/>
      <c r="AB11" s="191"/>
      <c r="AC11" s="191" t="str">
        <f>HLOOKUP($AC$5,名前2!$C:$J,7,0)</f>
        <v>あって乗車定員が６名以下のもの。</v>
      </c>
    </row>
    <row r="12" spans="1:29" ht="16.5" customHeight="1" x14ac:dyDescent="0.2">
      <c r="A12" s="448"/>
      <c r="B12" s="351" t="s">
        <v>382</v>
      </c>
      <c r="C12" s="290">
        <f t="shared" ref="C12:C14" si="7">C11-10</f>
        <v>770</v>
      </c>
      <c r="D12" s="353" t="s">
        <v>9</v>
      </c>
      <c r="E12" s="284">
        <v>196</v>
      </c>
      <c r="F12" s="352" t="s">
        <v>10</v>
      </c>
      <c r="G12" s="352">
        <v>100</v>
      </c>
      <c r="H12" s="353" t="s">
        <v>9</v>
      </c>
      <c r="I12" s="284">
        <f t="shared" si="0"/>
        <v>1</v>
      </c>
      <c r="J12" s="285" t="s">
        <v>11</v>
      </c>
      <c r="K12" s="286">
        <f t="shared" si="1"/>
        <v>15</v>
      </c>
      <c r="L12" s="287" t="s">
        <v>12</v>
      </c>
      <c r="M12" s="352">
        <f t="shared" si="2"/>
        <v>100</v>
      </c>
      <c r="N12" s="354" t="s">
        <v>9</v>
      </c>
      <c r="O12" s="185"/>
      <c r="P12" s="351" t="s">
        <v>382</v>
      </c>
      <c r="Q12" s="298">
        <f>Q19</f>
        <v>3500</v>
      </c>
      <c r="R12" s="354" t="s">
        <v>9</v>
      </c>
      <c r="S12" s="208"/>
      <c r="T12" s="208"/>
      <c r="U12" s="364" t="str">
        <f t="shared" si="3"/>
        <v>D運賃</v>
      </c>
      <c r="V12" s="234">
        <f t="shared" si="4"/>
        <v>1750</v>
      </c>
      <c r="W12" s="232" t="s">
        <v>9</v>
      </c>
      <c r="X12" s="364" t="str">
        <f t="shared" si="5"/>
        <v>D運賃</v>
      </c>
      <c r="Y12" s="234">
        <f t="shared" si="6"/>
        <v>1160</v>
      </c>
      <c r="Z12" s="232" t="s">
        <v>9</v>
      </c>
      <c r="AA12" s="186"/>
      <c r="AB12" s="191" t="str">
        <f>HLOOKUP($AB$5,名前2!$C:$J,8,0)</f>
        <v>普　通　車</v>
      </c>
      <c r="AC12" s="191" t="str">
        <f>HLOOKUP($AC$5,名前2!$C:$J,8,0)</f>
        <v>以下のいずれかに該当する自動車。</v>
      </c>
    </row>
    <row r="13" spans="1:29" ht="16.5" customHeight="1" x14ac:dyDescent="0.2">
      <c r="A13" s="448"/>
      <c r="B13" s="364" t="s">
        <v>383</v>
      </c>
      <c r="C13" s="290">
        <f>C12-10</f>
        <v>760</v>
      </c>
      <c r="D13" s="291" t="s">
        <v>9</v>
      </c>
      <c r="E13" s="292">
        <f>ROUND(E$12/(C13/C$12),0)</f>
        <v>199</v>
      </c>
      <c r="F13" s="293" t="s">
        <v>10</v>
      </c>
      <c r="G13" s="293">
        <f>$G$9</f>
        <v>100</v>
      </c>
      <c r="H13" s="291" t="s">
        <v>9</v>
      </c>
      <c r="I13" s="292">
        <f t="shared" si="0"/>
        <v>1</v>
      </c>
      <c r="J13" s="294" t="s">
        <v>11</v>
      </c>
      <c r="K13" s="295">
        <f t="shared" si="1"/>
        <v>15</v>
      </c>
      <c r="L13" s="296" t="s">
        <v>12</v>
      </c>
      <c r="M13" s="293">
        <f t="shared" si="2"/>
        <v>100</v>
      </c>
      <c r="N13" s="297" t="s">
        <v>9</v>
      </c>
      <c r="O13" s="185"/>
      <c r="P13" s="364" t="s">
        <v>383</v>
      </c>
      <c r="Q13" s="368">
        <f>Q20</f>
        <v>3460</v>
      </c>
      <c r="R13" s="297" t="s">
        <v>9</v>
      </c>
      <c r="S13" s="208"/>
      <c r="T13" s="208"/>
      <c r="U13" s="245" t="str">
        <f t="shared" si="3"/>
        <v>E運賃</v>
      </c>
      <c r="V13" s="234">
        <f t="shared" si="4"/>
        <v>1730</v>
      </c>
      <c r="W13" s="232" t="s">
        <v>9</v>
      </c>
      <c r="X13" s="245" t="str">
        <f t="shared" si="5"/>
        <v>E運賃</v>
      </c>
      <c r="Y13" s="234">
        <f t="shared" si="6"/>
        <v>1150</v>
      </c>
      <c r="Z13" s="232" t="s">
        <v>9</v>
      </c>
      <c r="AA13" s="186"/>
      <c r="AB13" s="191"/>
      <c r="AC13" s="191" t="str">
        <f>HLOOKUP($AC$5,名前2!$C:$J,9,0)</f>
        <v>一　普通自動車又は小型自動車のうち特定大型車及び大型</v>
      </c>
    </row>
    <row r="14" spans="1:29" ht="16.5" customHeight="1" thickBot="1" x14ac:dyDescent="0.25">
      <c r="A14" s="448"/>
      <c r="B14" s="226" t="s">
        <v>7</v>
      </c>
      <c r="C14" s="358">
        <f t="shared" si="7"/>
        <v>750</v>
      </c>
      <c r="D14" s="299" t="s">
        <v>9</v>
      </c>
      <c r="E14" s="300">
        <v>246</v>
      </c>
      <c r="F14" s="301" t="s">
        <v>10</v>
      </c>
      <c r="G14" s="301">
        <f>$G$9</f>
        <v>100</v>
      </c>
      <c r="H14" s="299" t="s">
        <v>9</v>
      </c>
      <c r="I14" s="300">
        <f t="shared" si="0"/>
        <v>1</v>
      </c>
      <c r="J14" s="302" t="s">
        <v>11</v>
      </c>
      <c r="K14" s="303">
        <f t="shared" si="1"/>
        <v>30</v>
      </c>
      <c r="L14" s="304" t="s">
        <v>12</v>
      </c>
      <c r="M14" s="301">
        <f t="shared" si="2"/>
        <v>100</v>
      </c>
      <c r="N14" s="305" t="s">
        <v>9</v>
      </c>
      <c r="O14" s="185"/>
      <c r="P14" s="226" t="s">
        <v>7</v>
      </c>
      <c r="Q14" s="306">
        <f>Q29</f>
        <v>3100</v>
      </c>
      <c r="R14" s="305" t="s">
        <v>9</v>
      </c>
      <c r="S14" s="208"/>
      <c r="T14" s="186"/>
      <c r="U14" s="226" t="str">
        <f t="shared" si="3"/>
        <v>下限運賃</v>
      </c>
      <c r="V14" s="235">
        <f t="shared" si="4"/>
        <v>1550</v>
      </c>
      <c r="W14" s="218" t="s">
        <v>9</v>
      </c>
      <c r="X14" s="226" t="str">
        <f t="shared" si="5"/>
        <v>下限運賃</v>
      </c>
      <c r="Y14" s="235">
        <f t="shared" si="6"/>
        <v>1030</v>
      </c>
      <c r="Z14" s="218" t="s">
        <v>9</v>
      </c>
      <c r="AA14" s="186"/>
      <c r="AB14" s="191"/>
      <c r="AC14" s="191" t="str">
        <f>HLOOKUP($AC$5,名前2!$C:$J,10,0)</f>
        <v>車に該当する自動車以外のもの。</v>
      </c>
    </row>
    <row r="15" spans="1:29" ht="16.5" customHeight="1" x14ac:dyDescent="0.2">
      <c r="A15" s="243"/>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91"/>
      <c r="AC15" s="191" t="str">
        <f>HLOOKUP($AC$5,名前2!$C:$J,11,0)</f>
        <v>二　道路運送車両法施行規則第２条に定める軽自動車（</v>
      </c>
    </row>
    <row r="16" spans="1:29" ht="16.5" customHeight="1" thickBot="1" x14ac:dyDescent="0.25">
      <c r="A16" s="243" t="s">
        <v>19</v>
      </c>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91"/>
      <c r="AC16" s="191" t="str">
        <f>HLOOKUP($AC$5,名前2!$C:$J,12,0)</f>
        <v>以下「軽自動車」という。）のうち、内燃機関を搭載し</v>
      </c>
    </row>
    <row r="17" spans="1:29" ht="30" customHeight="1" x14ac:dyDescent="0.2">
      <c r="A17" s="243"/>
      <c r="B17" s="550"/>
      <c r="C17" s="552" t="s">
        <v>3</v>
      </c>
      <c r="D17" s="552"/>
      <c r="E17" s="552"/>
      <c r="F17" s="552"/>
      <c r="G17" s="552"/>
      <c r="H17" s="553"/>
      <c r="I17" s="554" t="s">
        <v>4</v>
      </c>
      <c r="J17" s="555"/>
      <c r="K17" s="555"/>
      <c r="L17" s="555"/>
      <c r="M17" s="555"/>
      <c r="N17" s="556"/>
      <c r="O17" s="186"/>
      <c r="P17" s="550"/>
      <c r="Q17" s="566" t="s">
        <v>5</v>
      </c>
      <c r="R17" s="560"/>
      <c r="S17" s="192"/>
      <c r="T17" s="186"/>
      <c r="U17" s="550"/>
      <c r="V17" s="552" t="s">
        <v>5</v>
      </c>
      <c r="W17" s="560"/>
      <c r="X17" s="550"/>
      <c r="Y17" s="552" t="s">
        <v>5</v>
      </c>
      <c r="Z17" s="560"/>
      <c r="AA17" s="186"/>
      <c r="AB17" s="191"/>
      <c r="AC17" s="191" t="str">
        <f>HLOOKUP($AC$5,名前2!$C:$J,13,0)</f>
        <v>ないもの又は福祉輸送サービスの用に供するものに限る。</v>
      </c>
    </row>
    <row r="18" spans="1:29" ht="30.6" customHeight="1" thickBot="1" x14ac:dyDescent="0.25">
      <c r="A18" s="447" t="str">
        <f>IF(COUNTIF(A19:A24,"○")=0,"無","")</f>
        <v>無</v>
      </c>
      <c r="B18" s="551"/>
      <c r="C18" s="567" t="s">
        <v>30</v>
      </c>
      <c r="D18" s="568"/>
      <c r="E18" s="544" t="s">
        <v>6</v>
      </c>
      <c r="F18" s="545"/>
      <c r="G18" s="545"/>
      <c r="H18" s="546"/>
      <c r="I18" s="557"/>
      <c r="J18" s="558"/>
      <c r="K18" s="558"/>
      <c r="L18" s="558"/>
      <c r="M18" s="558"/>
      <c r="N18" s="559"/>
      <c r="O18" s="193" t="str">
        <f>IF(COUNTIF(O19:O24,"○")=0,"無","")</f>
        <v>無</v>
      </c>
      <c r="P18" s="551"/>
      <c r="Q18" s="547">
        <v>30</v>
      </c>
      <c r="R18" s="548"/>
      <c r="S18" s="194"/>
      <c r="T18" s="186"/>
      <c r="U18" s="551"/>
      <c r="V18" s="547">
        <v>15</v>
      </c>
      <c r="W18" s="548"/>
      <c r="X18" s="551"/>
      <c r="Y18" s="547">
        <v>10</v>
      </c>
      <c r="Z18" s="548"/>
      <c r="AA18" s="186"/>
      <c r="AB18" s="191"/>
      <c r="AC18" s="191" t="str">
        <f>HLOOKUP($AC$5,名前2!$C:$J,14,0)</f>
        <v>ただし、「タクシー事業における軽自動車の活用について」</v>
      </c>
    </row>
    <row r="19" spans="1:29" ht="16.5" customHeight="1" thickTop="1" x14ac:dyDescent="0.2">
      <c r="A19" s="448"/>
      <c r="B19" s="195" t="s">
        <v>8</v>
      </c>
      <c r="C19" s="280">
        <v>770</v>
      </c>
      <c r="D19" s="281" t="s">
        <v>9</v>
      </c>
      <c r="E19" s="282">
        <v>196</v>
      </c>
      <c r="F19" s="283" t="s">
        <v>10</v>
      </c>
      <c r="G19" s="283">
        <v>100</v>
      </c>
      <c r="H19" s="281" t="s">
        <v>9</v>
      </c>
      <c r="I19" s="284">
        <f t="shared" ref="I19:I24" si="8">TRUNC(CEILING(ROUND(E19*0.36,0),5)/60,0)</f>
        <v>1</v>
      </c>
      <c r="J19" s="285" t="s">
        <v>11</v>
      </c>
      <c r="K19" s="286">
        <f t="shared" ref="K19:K24" si="9">TRUNC(CEILING(ROUNDUP(E19*0.36,0),5)-I19*60,0)</f>
        <v>15</v>
      </c>
      <c r="L19" s="287" t="s">
        <v>12</v>
      </c>
      <c r="M19" s="283">
        <f t="shared" ref="M19:M24" si="10">$G$9</f>
        <v>100</v>
      </c>
      <c r="N19" s="288" t="s">
        <v>9</v>
      </c>
      <c r="O19" s="185"/>
      <c r="P19" s="195" t="s">
        <v>8</v>
      </c>
      <c r="Q19" s="289">
        <v>3500</v>
      </c>
      <c r="R19" s="288" t="s">
        <v>9</v>
      </c>
      <c r="S19" s="208"/>
      <c r="T19" s="186"/>
      <c r="U19" s="195" t="str">
        <f>P19</f>
        <v>上限運賃</v>
      </c>
      <c r="V19" s="207">
        <f>ROUNDDOWN($Q19*$V$8/$Q$8,-1)</f>
        <v>1750</v>
      </c>
      <c r="W19" s="209" t="s">
        <v>9</v>
      </c>
      <c r="X19" s="195" t="str">
        <f>P19</f>
        <v>上限運賃</v>
      </c>
      <c r="Y19" s="207">
        <f>ROUNDDOWN($Q19*$Y$8/$Q$8,-1)</f>
        <v>1160</v>
      </c>
      <c r="Z19" s="209" t="s">
        <v>9</v>
      </c>
      <c r="AA19" s="186"/>
      <c r="AB19" s="191"/>
      <c r="AC19" s="191" t="str">
        <f>HLOOKUP($AC$5,名前2!$C:$J,15,0)</f>
        <v>（令和８年６月１日付け国自旅第３７号）別紙１．に基</v>
      </c>
    </row>
    <row r="20" spans="1:29" ht="16.5" customHeight="1" x14ac:dyDescent="0.2">
      <c r="A20" s="448"/>
      <c r="B20" s="364" t="s">
        <v>13</v>
      </c>
      <c r="C20" s="290">
        <f>C19-10</f>
        <v>760</v>
      </c>
      <c r="D20" s="291" t="s">
        <v>9</v>
      </c>
      <c r="E20" s="292">
        <f>ROUND(E$19/(C20/C$19),0)</f>
        <v>199</v>
      </c>
      <c r="F20" s="293" t="s">
        <v>10</v>
      </c>
      <c r="G20" s="293">
        <f>$G$9</f>
        <v>100</v>
      </c>
      <c r="H20" s="291" t="s">
        <v>9</v>
      </c>
      <c r="I20" s="292">
        <f t="shared" si="8"/>
        <v>1</v>
      </c>
      <c r="J20" s="294" t="s">
        <v>11</v>
      </c>
      <c r="K20" s="295">
        <f t="shared" si="9"/>
        <v>15</v>
      </c>
      <c r="L20" s="296" t="s">
        <v>12</v>
      </c>
      <c r="M20" s="293">
        <f t="shared" si="10"/>
        <v>100</v>
      </c>
      <c r="N20" s="297" t="s">
        <v>9</v>
      </c>
      <c r="O20" s="185"/>
      <c r="P20" s="364" t="s">
        <v>13</v>
      </c>
      <c r="Q20" s="298">
        <f>ROUNDUP((C20/C19)*Q19,-1)</f>
        <v>3460</v>
      </c>
      <c r="R20" s="297" t="s">
        <v>9</v>
      </c>
      <c r="S20" s="208"/>
      <c r="T20" s="186"/>
      <c r="U20" s="364" t="str">
        <f t="shared" ref="U20:U24" si="11">P20</f>
        <v>Ｂ運賃</v>
      </c>
      <c r="V20" s="234">
        <f t="shared" ref="V20:V24" si="12">ROUNDDOWN($Q20*$V$8/$Q$8,-1)</f>
        <v>1730</v>
      </c>
      <c r="W20" s="232" t="s">
        <v>9</v>
      </c>
      <c r="X20" s="364" t="str">
        <f t="shared" ref="X20:X24" si="13">P20</f>
        <v>Ｂ運賃</v>
      </c>
      <c r="Y20" s="234">
        <f t="shared" ref="Y20:Y24" si="14">ROUNDDOWN($Q20*$Y$8/$Q$8,-1)</f>
        <v>1150</v>
      </c>
      <c r="Z20" s="232" t="s">
        <v>9</v>
      </c>
      <c r="AA20" s="186"/>
      <c r="AB20" s="191"/>
      <c r="AC20" s="191" t="str">
        <f>HLOOKUP($AC$5,名前2!$C:$J,16,0)</f>
        <v>づき近畿運輸局長が公示する地域においては、軽自動車と</v>
      </c>
    </row>
    <row r="21" spans="1:29" ht="16.5" customHeight="1" x14ac:dyDescent="0.2">
      <c r="A21" s="448"/>
      <c r="B21" s="364" t="s">
        <v>381</v>
      </c>
      <c r="C21" s="290">
        <f t="shared" ref="C21:C24" si="15">C20-10</f>
        <v>750</v>
      </c>
      <c r="D21" s="291" t="s">
        <v>9</v>
      </c>
      <c r="E21" s="292">
        <f>E29</f>
        <v>246</v>
      </c>
      <c r="F21" s="293" t="s">
        <v>10</v>
      </c>
      <c r="G21" s="293">
        <f>$G$9</f>
        <v>100</v>
      </c>
      <c r="H21" s="291" t="s">
        <v>9</v>
      </c>
      <c r="I21" s="292">
        <f t="shared" si="8"/>
        <v>1</v>
      </c>
      <c r="J21" s="294" t="s">
        <v>11</v>
      </c>
      <c r="K21" s="295">
        <f t="shared" si="9"/>
        <v>30</v>
      </c>
      <c r="L21" s="296" t="s">
        <v>12</v>
      </c>
      <c r="M21" s="293">
        <f t="shared" si="10"/>
        <v>100</v>
      </c>
      <c r="N21" s="356" t="s">
        <v>9</v>
      </c>
      <c r="O21" s="185"/>
      <c r="P21" s="364" t="s">
        <v>381</v>
      </c>
      <c r="Q21" s="298">
        <f>Q29</f>
        <v>3100</v>
      </c>
      <c r="R21" s="297" t="s">
        <v>9</v>
      </c>
      <c r="S21" s="208"/>
      <c r="T21" s="208"/>
      <c r="U21" s="364" t="str">
        <f t="shared" si="11"/>
        <v>C運賃</v>
      </c>
      <c r="V21" s="234">
        <f t="shared" si="12"/>
        <v>1550</v>
      </c>
      <c r="W21" s="232" t="s">
        <v>9</v>
      </c>
      <c r="X21" s="364" t="str">
        <f t="shared" si="13"/>
        <v>C運賃</v>
      </c>
      <c r="Y21" s="234">
        <f t="shared" si="14"/>
        <v>1030</v>
      </c>
      <c r="Z21" s="232" t="s">
        <v>9</v>
      </c>
      <c r="AA21" s="186"/>
      <c r="AB21" s="191"/>
      <c r="AC21" s="191" t="str">
        <f>HLOOKUP($AC$5,名前2!$C:$J,17,0)</f>
        <v>する。</v>
      </c>
    </row>
    <row r="22" spans="1:29" ht="16.5" customHeight="1" x14ac:dyDescent="0.2">
      <c r="A22" s="448"/>
      <c r="B22" s="351" t="s">
        <v>382</v>
      </c>
      <c r="C22" s="290">
        <f t="shared" si="15"/>
        <v>740</v>
      </c>
      <c r="D22" s="353" t="s">
        <v>9</v>
      </c>
      <c r="E22" s="292">
        <f>ROUND(E$21/(C22/C$21),0)</f>
        <v>249</v>
      </c>
      <c r="F22" s="352" t="s">
        <v>10</v>
      </c>
      <c r="G22" s="352">
        <v>100</v>
      </c>
      <c r="H22" s="353" t="s">
        <v>9</v>
      </c>
      <c r="I22" s="284">
        <f t="shared" si="8"/>
        <v>1</v>
      </c>
      <c r="J22" s="285" t="s">
        <v>11</v>
      </c>
      <c r="K22" s="286">
        <f t="shared" si="9"/>
        <v>30</v>
      </c>
      <c r="L22" s="287" t="s">
        <v>12</v>
      </c>
      <c r="M22" s="352">
        <f t="shared" si="10"/>
        <v>100</v>
      </c>
      <c r="N22" s="297" t="s">
        <v>9</v>
      </c>
      <c r="O22" s="185"/>
      <c r="P22" s="351" t="s">
        <v>382</v>
      </c>
      <c r="Q22" s="355">
        <v>3060</v>
      </c>
      <c r="R22" s="354" t="s">
        <v>9</v>
      </c>
      <c r="S22" s="208"/>
      <c r="T22" s="208"/>
      <c r="U22" s="364" t="str">
        <f t="shared" si="11"/>
        <v>D運賃</v>
      </c>
      <c r="V22" s="234">
        <f t="shared" si="12"/>
        <v>1530</v>
      </c>
      <c r="W22" s="232" t="s">
        <v>9</v>
      </c>
      <c r="X22" s="364" t="str">
        <f t="shared" si="13"/>
        <v>D運賃</v>
      </c>
      <c r="Y22" s="234">
        <f t="shared" si="14"/>
        <v>1020</v>
      </c>
      <c r="Z22" s="232" t="s">
        <v>9</v>
      </c>
      <c r="AA22" s="186"/>
      <c r="AB22" s="191" t="str">
        <f>HLOOKUP($AB$5,名前2!$C:$J,18,0)</f>
        <v>備　　　考　</v>
      </c>
      <c r="AC22" s="191" t="str">
        <f>HLOOKUP($AC$5,名前2!$C:$J,18,0)</f>
        <v>１　自動車検査証に記載されている諸元を基準とする。</v>
      </c>
    </row>
    <row r="23" spans="1:29" ht="16.5" customHeight="1" x14ac:dyDescent="0.2">
      <c r="A23" s="448"/>
      <c r="B23" s="364" t="s">
        <v>383</v>
      </c>
      <c r="C23" s="290">
        <f t="shared" si="15"/>
        <v>730</v>
      </c>
      <c r="D23" s="291" t="s">
        <v>9</v>
      </c>
      <c r="E23" s="292">
        <f t="shared" ref="E23:E24" si="16">ROUND(E$21/(C23/C$21),0)</f>
        <v>253</v>
      </c>
      <c r="F23" s="293" t="s">
        <v>10</v>
      </c>
      <c r="G23" s="293">
        <f>$G$9</f>
        <v>100</v>
      </c>
      <c r="H23" s="291" t="s">
        <v>9</v>
      </c>
      <c r="I23" s="292">
        <f t="shared" si="8"/>
        <v>1</v>
      </c>
      <c r="J23" s="294" t="s">
        <v>11</v>
      </c>
      <c r="K23" s="295">
        <f t="shared" si="9"/>
        <v>35</v>
      </c>
      <c r="L23" s="296" t="s">
        <v>12</v>
      </c>
      <c r="M23" s="293">
        <f t="shared" si="10"/>
        <v>100</v>
      </c>
      <c r="N23" s="297" t="s">
        <v>9</v>
      </c>
      <c r="O23" s="185"/>
      <c r="P23" s="364" t="s">
        <v>383</v>
      </c>
      <c r="Q23" s="298">
        <f>ROUNDUP((C23/C22)*Q22,-1)</f>
        <v>3020</v>
      </c>
      <c r="R23" s="297" t="s">
        <v>9</v>
      </c>
      <c r="S23" s="208"/>
      <c r="T23" s="208"/>
      <c r="U23" s="245" t="str">
        <f t="shared" si="11"/>
        <v>E運賃</v>
      </c>
      <c r="V23" s="234">
        <f t="shared" si="12"/>
        <v>1510</v>
      </c>
      <c r="W23" s="232" t="s">
        <v>9</v>
      </c>
      <c r="X23" s="245" t="str">
        <f t="shared" si="13"/>
        <v>E運賃</v>
      </c>
      <c r="Y23" s="234">
        <f t="shared" si="14"/>
        <v>1000</v>
      </c>
      <c r="Z23" s="232" t="s">
        <v>9</v>
      </c>
      <c r="AA23" s="186"/>
      <c r="AB23" s="191"/>
      <c r="AC23" s="191" t="str">
        <f>HLOOKUP($AC$5,名前2!$C:$J,19,0)</f>
        <v>２　車体の形状が患者輸送車、車いす移動車又は身体障害</v>
      </c>
    </row>
    <row r="24" spans="1:29" ht="16.5" customHeight="1" thickBot="1" x14ac:dyDescent="0.25">
      <c r="A24" s="448"/>
      <c r="B24" s="226" t="s">
        <v>7</v>
      </c>
      <c r="C24" s="357">
        <f t="shared" si="15"/>
        <v>720</v>
      </c>
      <c r="D24" s="299" t="s">
        <v>9</v>
      </c>
      <c r="E24" s="361">
        <f t="shared" si="16"/>
        <v>256</v>
      </c>
      <c r="F24" s="301" t="s">
        <v>10</v>
      </c>
      <c r="G24" s="301">
        <f>$G$9</f>
        <v>100</v>
      </c>
      <c r="H24" s="299" t="s">
        <v>9</v>
      </c>
      <c r="I24" s="300">
        <f t="shared" si="8"/>
        <v>1</v>
      </c>
      <c r="J24" s="302" t="s">
        <v>11</v>
      </c>
      <c r="K24" s="303">
        <f t="shared" si="9"/>
        <v>35</v>
      </c>
      <c r="L24" s="304" t="s">
        <v>12</v>
      </c>
      <c r="M24" s="301">
        <f t="shared" si="10"/>
        <v>100</v>
      </c>
      <c r="N24" s="305" t="s">
        <v>9</v>
      </c>
      <c r="O24" s="185"/>
      <c r="P24" s="226" t="s">
        <v>7</v>
      </c>
      <c r="Q24" s="306">
        <f>ROUNDUP((C24/C23)*Q23,-1)</f>
        <v>2980</v>
      </c>
      <c r="R24" s="305" t="s">
        <v>9</v>
      </c>
      <c r="S24" s="208"/>
      <c r="T24" s="208"/>
      <c r="U24" s="226" t="str">
        <f t="shared" si="11"/>
        <v>下限運賃</v>
      </c>
      <c r="V24" s="235">
        <f t="shared" si="12"/>
        <v>1490</v>
      </c>
      <c r="W24" s="218" t="s">
        <v>9</v>
      </c>
      <c r="X24" s="226" t="str">
        <f t="shared" si="13"/>
        <v>下限運賃</v>
      </c>
      <c r="Y24" s="235">
        <f t="shared" si="14"/>
        <v>990</v>
      </c>
      <c r="Z24" s="218" t="s">
        <v>9</v>
      </c>
      <c r="AA24" s="186"/>
      <c r="AB24" s="191" t="str">
        <f>IF(HLOOKUP($AB$5,名前2!$C:$J,20,0)=0,"",HLOOKUP($AB$5,名前2!C:J,20,0))</f>
        <v/>
      </c>
      <c r="AC24" s="191" t="str">
        <f>HLOOKUP($AC$5,名前2!$C:$J,20,0)</f>
        <v>者輸送車である特種自動車については、上記の車種区分に</v>
      </c>
    </row>
    <row r="25" spans="1:29" ht="16.5" customHeight="1" x14ac:dyDescent="0.2">
      <c r="A25" s="243"/>
      <c r="B25" s="186"/>
      <c r="C25" s="359"/>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91"/>
      <c r="AC25" s="191" t="str">
        <f>HLOOKUP($AC$5,名前2!$C:$J,21,0)</f>
        <v>よらず、以下の区分を適用する。</v>
      </c>
    </row>
    <row r="26" spans="1:29" ht="19.95" customHeight="1" thickBot="1" x14ac:dyDescent="0.25">
      <c r="A26" s="243" t="s">
        <v>23</v>
      </c>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91"/>
      <c r="AC26" s="191" t="str">
        <f>HLOOKUP($AC$5,名前2!$C:$J,22,0)</f>
        <v>一　次号に掲げる自動車以外の自動車</v>
      </c>
    </row>
    <row r="27" spans="1:29" ht="16.5" customHeight="1" x14ac:dyDescent="0.2">
      <c r="A27" s="243"/>
      <c r="B27" s="550"/>
      <c r="C27" s="552" t="s">
        <v>3</v>
      </c>
      <c r="D27" s="552"/>
      <c r="E27" s="552"/>
      <c r="F27" s="552"/>
      <c r="G27" s="552"/>
      <c r="H27" s="553"/>
      <c r="I27" s="554" t="s">
        <v>4</v>
      </c>
      <c r="J27" s="555"/>
      <c r="K27" s="555"/>
      <c r="L27" s="555"/>
      <c r="M27" s="555"/>
      <c r="N27" s="556"/>
      <c r="O27" s="186"/>
      <c r="P27" s="550"/>
      <c r="Q27" s="566" t="s">
        <v>5</v>
      </c>
      <c r="R27" s="560"/>
      <c r="S27" s="192"/>
      <c r="T27" s="186"/>
      <c r="U27" s="550"/>
      <c r="V27" s="552" t="s">
        <v>5</v>
      </c>
      <c r="W27" s="560"/>
      <c r="X27" s="550"/>
      <c r="Y27" s="552" t="s">
        <v>5</v>
      </c>
      <c r="Z27" s="560"/>
      <c r="AA27" s="186"/>
      <c r="AB27" s="191"/>
      <c r="AC27" s="191" t="str">
        <f>HLOOKUP($AC$5,名前2!$C:$J,23,0)</f>
        <v>ア　乗車定員が７名以上のもの　大型車</v>
      </c>
    </row>
    <row r="28" spans="1:29" ht="27" customHeight="1" thickBot="1" x14ac:dyDescent="0.25">
      <c r="A28" s="447" t="str">
        <f>IF(COUNTIF(A29:A34,"○")=0,"無","")</f>
        <v>無</v>
      </c>
      <c r="B28" s="551"/>
      <c r="C28" s="567" t="s">
        <v>30</v>
      </c>
      <c r="D28" s="568"/>
      <c r="E28" s="544" t="s">
        <v>6</v>
      </c>
      <c r="F28" s="545"/>
      <c r="G28" s="545"/>
      <c r="H28" s="546"/>
      <c r="I28" s="557"/>
      <c r="J28" s="558"/>
      <c r="K28" s="558"/>
      <c r="L28" s="558"/>
      <c r="M28" s="558"/>
      <c r="N28" s="559"/>
      <c r="O28" s="193" t="str">
        <f>IF(COUNTIF(O29:O34,"○")=0,"無","")</f>
        <v>無</v>
      </c>
      <c r="P28" s="551"/>
      <c r="Q28" s="547">
        <v>30</v>
      </c>
      <c r="R28" s="548"/>
      <c r="S28" s="194"/>
      <c r="T28" s="186"/>
      <c r="U28" s="551"/>
      <c r="V28" s="547">
        <v>15</v>
      </c>
      <c r="W28" s="548"/>
      <c r="X28" s="551"/>
      <c r="Y28" s="547">
        <v>10</v>
      </c>
      <c r="Z28" s="548"/>
      <c r="AA28" s="186"/>
      <c r="AB28" s="191"/>
      <c r="AC28" s="191" t="str">
        <f>HLOOKUP($AC$5,名前2!$C:$J,24,0)</f>
        <v>イ　乗車定員が６名以下のもの　普通車</v>
      </c>
    </row>
    <row r="29" spans="1:29" ht="16.5" customHeight="1" thickTop="1" x14ac:dyDescent="0.2">
      <c r="A29" s="448"/>
      <c r="B29" s="195" t="s">
        <v>8</v>
      </c>
      <c r="C29" s="280">
        <v>750</v>
      </c>
      <c r="D29" s="281" t="s">
        <v>9</v>
      </c>
      <c r="E29" s="282">
        <v>246</v>
      </c>
      <c r="F29" s="283" t="s">
        <v>10</v>
      </c>
      <c r="G29" s="283">
        <v>100</v>
      </c>
      <c r="H29" s="281" t="s">
        <v>9</v>
      </c>
      <c r="I29" s="284">
        <f t="shared" ref="I29:I34" si="17">TRUNC(CEILING(ROUND(E29*0.36,0),5)/60,0)</f>
        <v>1</v>
      </c>
      <c r="J29" s="285" t="s">
        <v>11</v>
      </c>
      <c r="K29" s="286">
        <f t="shared" ref="K29:K34" si="18">TRUNC(CEILING(ROUNDUP(E29*0.36,0),5)-I29*60,0)</f>
        <v>30</v>
      </c>
      <c r="L29" s="287" t="s">
        <v>12</v>
      </c>
      <c r="M29" s="283">
        <f t="shared" ref="M29:M34" si="19">$G$9</f>
        <v>100</v>
      </c>
      <c r="N29" s="288" t="s">
        <v>9</v>
      </c>
      <c r="O29" s="185"/>
      <c r="P29" s="195" t="s">
        <v>8</v>
      </c>
      <c r="Q29" s="289">
        <v>3100</v>
      </c>
      <c r="R29" s="288" t="s">
        <v>9</v>
      </c>
      <c r="S29" s="208"/>
      <c r="T29" s="186"/>
      <c r="U29" s="195" t="str">
        <f>P29</f>
        <v>上限運賃</v>
      </c>
      <c r="V29" s="207">
        <f>ROUNDDOWN($Q29*$V$8/$Q$8,-1)</f>
        <v>1550</v>
      </c>
      <c r="W29" s="209" t="s">
        <v>9</v>
      </c>
      <c r="X29" s="195" t="str">
        <f>P29</f>
        <v>上限運賃</v>
      </c>
      <c r="Y29" s="207">
        <f>ROUNDDOWN($Q29*$Y$8/$Q$8,-1)</f>
        <v>1030</v>
      </c>
      <c r="Z29" s="209" t="s">
        <v>9</v>
      </c>
      <c r="AA29" s="186"/>
      <c r="AB29" s="191"/>
      <c r="AC29" s="191" t="str">
        <f>HLOOKUP($AC$5,名前2!$C:$J,25,0)</f>
        <v>二　専ら旅客を寝台に乗せて運行することを目的とする</v>
      </c>
    </row>
    <row r="30" spans="1:29" ht="16.5" customHeight="1" x14ac:dyDescent="0.2">
      <c r="A30" s="448"/>
      <c r="B30" s="364" t="s">
        <v>13</v>
      </c>
      <c r="C30" s="290">
        <f>C29-10</f>
        <v>740</v>
      </c>
      <c r="D30" s="291" t="s">
        <v>9</v>
      </c>
      <c r="E30" s="292">
        <f>ROUND(E$29/(C30/C$29),0)</f>
        <v>249</v>
      </c>
      <c r="F30" s="293" t="s">
        <v>10</v>
      </c>
      <c r="G30" s="293">
        <f>$G$9</f>
        <v>100</v>
      </c>
      <c r="H30" s="291" t="s">
        <v>9</v>
      </c>
      <c r="I30" s="292">
        <f t="shared" si="17"/>
        <v>1</v>
      </c>
      <c r="J30" s="294" t="s">
        <v>11</v>
      </c>
      <c r="K30" s="295">
        <f t="shared" si="18"/>
        <v>30</v>
      </c>
      <c r="L30" s="296" t="s">
        <v>12</v>
      </c>
      <c r="M30" s="293">
        <f t="shared" si="19"/>
        <v>100</v>
      </c>
      <c r="N30" s="297" t="s">
        <v>9</v>
      </c>
      <c r="O30" s="185"/>
      <c r="P30" s="364" t="s">
        <v>13</v>
      </c>
      <c r="Q30" s="298">
        <f>ROUNDUP((C30/C$29)*Q$29,-1)</f>
        <v>3060</v>
      </c>
      <c r="R30" s="297" t="s">
        <v>9</v>
      </c>
      <c r="S30" s="208"/>
      <c r="T30" s="186"/>
      <c r="U30" s="364" t="str">
        <f t="shared" ref="U30:U34" si="20">P30</f>
        <v>Ｂ運賃</v>
      </c>
      <c r="V30" s="234">
        <f t="shared" ref="V30:V34" si="21">ROUNDDOWN($Q30*$V$8/$Q$8,-1)</f>
        <v>1530</v>
      </c>
      <c r="W30" s="232" t="s">
        <v>9</v>
      </c>
      <c r="X30" s="364" t="str">
        <f t="shared" ref="X30:X34" si="22">P30</f>
        <v>Ｂ運賃</v>
      </c>
      <c r="Y30" s="234">
        <f t="shared" ref="Y30:Y34" si="23">ROUNDDOWN($Q30*$Y$8/$Q$8,-1)</f>
        <v>1020</v>
      </c>
      <c r="Z30" s="232" t="s">
        <v>9</v>
      </c>
      <c r="AA30" s="186"/>
      <c r="AB30" s="191"/>
      <c r="AC30" s="191" t="str">
        <f>HLOOKUP($AC$5,名前2!$C:$J,26,0)</f>
        <v>自動車</v>
      </c>
    </row>
    <row r="31" spans="1:29" ht="16.5" customHeight="1" x14ac:dyDescent="0.2">
      <c r="A31" s="448"/>
      <c r="B31" s="364" t="s">
        <v>381</v>
      </c>
      <c r="C31" s="290">
        <f>C30-10</f>
        <v>730</v>
      </c>
      <c r="D31" s="291" t="s">
        <v>9</v>
      </c>
      <c r="E31" s="292">
        <f t="shared" ref="E31:E34" si="24">ROUND(E$29/(C31/C$29),0)</f>
        <v>253</v>
      </c>
      <c r="F31" s="293" t="s">
        <v>10</v>
      </c>
      <c r="G31" s="293">
        <f>$G$9</f>
        <v>100</v>
      </c>
      <c r="H31" s="291" t="s">
        <v>9</v>
      </c>
      <c r="I31" s="292">
        <f t="shared" si="17"/>
        <v>1</v>
      </c>
      <c r="J31" s="294" t="s">
        <v>11</v>
      </c>
      <c r="K31" s="295">
        <f t="shared" si="18"/>
        <v>35</v>
      </c>
      <c r="L31" s="296" t="s">
        <v>12</v>
      </c>
      <c r="M31" s="293">
        <f t="shared" si="19"/>
        <v>100</v>
      </c>
      <c r="N31" s="297" t="s">
        <v>9</v>
      </c>
      <c r="O31" s="185"/>
      <c r="P31" s="364" t="s">
        <v>381</v>
      </c>
      <c r="Q31" s="298">
        <f>ROUNDUP((C31/C$29)*Q$29,-1)</f>
        <v>3020</v>
      </c>
      <c r="R31" s="297" t="s">
        <v>9</v>
      </c>
      <c r="S31" s="208"/>
      <c r="T31" s="208"/>
      <c r="U31" s="364" t="str">
        <f t="shared" si="20"/>
        <v>C運賃</v>
      </c>
      <c r="V31" s="234">
        <f t="shared" si="21"/>
        <v>1510</v>
      </c>
      <c r="W31" s="232" t="s">
        <v>9</v>
      </c>
      <c r="X31" s="364" t="str">
        <f t="shared" si="22"/>
        <v>C運賃</v>
      </c>
      <c r="Y31" s="234">
        <f t="shared" si="23"/>
        <v>1000</v>
      </c>
      <c r="Z31" s="232" t="s">
        <v>9</v>
      </c>
      <c r="AA31" s="186"/>
      <c r="AB31" s="191"/>
      <c r="AC31" s="191" t="str">
        <f>HLOOKUP($AC$5,名前2!$C:$J,27,0)</f>
        <v>ア　普通自動車　普通自動車</v>
      </c>
    </row>
    <row r="32" spans="1:29" ht="16.5" customHeight="1" x14ac:dyDescent="0.2">
      <c r="A32" s="448"/>
      <c r="B32" s="351" t="s">
        <v>382</v>
      </c>
      <c r="C32" s="290">
        <f t="shared" ref="C32:C34" si="25">C31-10</f>
        <v>720</v>
      </c>
      <c r="D32" s="353" t="s">
        <v>9</v>
      </c>
      <c r="E32" s="292">
        <f t="shared" si="24"/>
        <v>256</v>
      </c>
      <c r="F32" s="352" t="s">
        <v>10</v>
      </c>
      <c r="G32" s="352">
        <v>100</v>
      </c>
      <c r="H32" s="353" t="s">
        <v>9</v>
      </c>
      <c r="I32" s="284">
        <f t="shared" si="17"/>
        <v>1</v>
      </c>
      <c r="J32" s="285" t="s">
        <v>11</v>
      </c>
      <c r="K32" s="286">
        <f t="shared" si="18"/>
        <v>35</v>
      </c>
      <c r="L32" s="287" t="s">
        <v>12</v>
      </c>
      <c r="M32" s="352">
        <f t="shared" si="19"/>
        <v>100</v>
      </c>
      <c r="N32" s="354" t="s">
        <v>9</v>
      </c>
      <c r="O32" s="185"/>
      <c r="P32" s="351" t="s">
        <v>382</v>
      </c>
      <c r="Q32" s="298">
        <f t="shared" ref="Q32:Q34" si="26">ROUNDUP((C32/C$29)*Q$29,-1)</f>
        <v>2980</v>
      </c>
      <c r="R32" s="354" t="s">
        <v>9</v>
      </c>
      <c r="S32" s="208"/>
      <c r="T32" s="208"/>
      <c r="U32" s="364" t="str">
        <f t="shared" si="20"/>
        <v>D運賃</v>
      </c>
      <c r="V32" s="234">
        <f t="shared" si="21"/>
        <v>1490</v>
      </c>
      <c r="W32" s="232" t="s">
        <v>9</v>
      </c>
      <c r="X32" s="364" t="str">
        <f t="shared" si="22"/>
        <v>D運賃</v>
      </c>
      <c r="Y32" s="234">
        <f t="shared" si="23"/>
        <v>990</v>
      </c>
      <c r="Z32" s="232" t="s">
        <v>9</v>
      </c>
      <c r="AA32" s="186"/>
      <c r="AB32" s="191"/>
      <c r="AC32" s="191" t="str">
        <f>HLOOKUP($AC$5,名前2!$C:$J,28,0)</f>
        <v>イ　小型自動車　小型自動車</v>
      </c>
    </row>
    <row r="33" spans="1:29" ht="16.5" customHeight="1" x14ac:dyDescent="0.2">
      <c r="A33" s="448"/>
      <c r="B33" s="364" t="s">
        <v>383</v>
      </c>
      <c r="C33" s="290">
        <f t="shared" si="25"/>
        <v>710</v>
      </c>
      <c r="D33" s="291" t="s">
        <v>9</v>
      </c>
      <c r="E33" s="292">
        <f t="shared" si="24"/>
        <v>260</v>
      </c>
      <c r="F33" s="293" t="s">
        <v>10</v>
      </c>
      <c r="G33" s="293">
        <f>$G$9</f>
        <v>100</v>
      </c>
      <c r="H33" s="291" t="s">
        <v>9</v>
      </c>
      <c r="I33" s="292">
        <f t="shared" si="17"/>
        <v>1</v>
      </c>
      <c r="J33" s="294" t="s">
        <v>11</v>
      </c>
      <c r="K33" s="295">
        <f t="shared" si="18"/>
        <v>35</v>
      </c>
      <c r="L33" s="296" t="s">
        <v>12</v>
      </c>
      <c r="M33" s="293">
        <f t="shared" si="19"/>
        <v>100</v>
      </c>
      <c r="N33" s="297" t="s">
        <v>9</v>
      </c>
      <c r="O33" s="185"/>
      <c r="P33" s="364" t="s">
        <v>383</v>
      </c>
      <c r="Q33" s="298">
        <f t="shared" si="26"/>
        <v>2940</v>
      </c>
      <c r="R33" s="297" t="s">
        <v>9</v>
      </c>
      <c r="S33" s="208"/>
      <c r="T33" s="208"/>
      <c r="U33" s="245" t="str">
        <f t="shared" si="20"/>
        <v>E運賃</v>
      </c>
      <c r="V33" s="234">
        <f t="shared" si="21"/>
        <v>1470</v>
      </c>
      <c r="W33" s="232" t="s">
        <v>9</v>
      </c>
      <c r="X33" s="245" t="str">
        <f t="shared" si="22"/>
        <v>E運賃</v>
      </c>
      <c r="Y33" s="234">
        <f t="shared" si="23"/>
        <v>980</v>
      </c>
      <c r="Z33" s="232" t="s">
        <v>9</v>
      </c>
      <c r="AA33" s="186"/>
      <c r="AB33" s="191"/>
      <c r="AC33" s="191" t="str">
        <f>HLOOKUP($AC$5,名前2!$C:$J,29,0)</f>
        <v>３　上記の車種区分において、ハイブリッド自動車とは、</v>
      </c>
    </row>
    <row r="34" spans="1:29" ht="16.5" customHeight="1" thickBot="1" x14ac:dyDescent="0.25">
      <c r="A34" s="448"/>
      <c r="B34" s="226" t="s">
        <v>7</v>
      </c>
      <c r="C34" s="358">
        <f t="shared" si="25"/>
        <v>700</v>
      </c>
      <c r="D34" s="299" t="s">
        <v>9</v>
      </c>
      <c r="E34" s="300">
        <f t="shared" si="24"/>
        <v>264</v>
      </c>
      <c r="F34" s="301" t="s">
        <v>10</v>
      </c>
      <c r="G34" s="301">
        <f>$G$9</f>
        <v>100</v>
      </c>
      <c r="H34" s="299" t="s">
        <v>9</v>
      </c>
      <c r="I34" s="300">
        <f t="shared" si="17"/>
        <v>1</v>
      </c>
      <c r="J34" s="302" t="s">
        <v>11</v>
      </c>
      <c r="K34" s="303">
        <f t="shared" si="18"/>
        <v>40</v>
      </c>
      <c r="L34" s="304" t="s">
        <v>12</v>
      </c>
      <c r="M34" s="301">
        <f t="shared" si="19"/>
        <v>100</v>
      </c>
      <c r="N34" s="305" t="s">
        <v>9</v>
      </c>
      <c r="O34" s="185"/>
      <c r="P34" s="226" t="s">
        <v>7</v>
      </c>
      <c r="Q34" s="360">
        <f t="shared" si="26"/>
        <v>2900</v>
      </c>
      <c r="R34" s="305" t="s">
        <v>9</v>
      </c>
      <c r="S34" s="208"/>
      <c r="T34" s="208"/>
      <c r="U34" s="226" t="str">
        <f t="shared" si="20"/>
        <v>下限運賃</v>
      </c>
      <c r="V34" s="235">
        <f t="shared" si="21"/>
        <v>1450</v>
      </c>
      <c r="W34" s="218" t="s">
        <v>9</v>
      </c>
      <c r="X34" s="226" t="str">
        <f t="shared" si="22"/>
        <v>下限運賃</v>
      </c>
      <c r="Y34" s="235">
        <f t="shared" si="23"/>
        <v>960</v>
      </c>
      <c r="Z34" s="218" t="s">
        <v>9</v>
      </c>
      <c r="AA34" s="186"/>
      <c r="AB34" s="191"/>
      <c r="AC34" s="191" t="str">
        <f>HLOOKUP($AC$5,名前2!$C:$J,30,0)</f>
        <v>内燃機関を搭載し、併せて電気又は蓄圧器に蓄えられた</v>
      </c>
    </row>
    <row r="35" spans="1:29" ht="13.95" customHeight="1" x14ac:dyDescent="0.2">
      <c r="A35" s="243"/>
      <c r="B35" s="186"/>
      <c r="C35" s="186"/>
      <c r="D35" s="186"/>
      <c r="E35" s="186"/>
      <c r="F35" s="186"/>
      <c r="G35" s="186"/>
      <c r="H35" s="186"/>
      <c r="I35" s="186"/>
      <c r="J35" s="186"/>
      <c r="K35" s="186"/>
      <c r="L35" s="186"/>
      <c r="M35" s="186"/>
      <c r="N35" s="186"/>
      <c r="O35" s="186"/>
      <c r="P35" s="186"/>
      <c r="Q35" s="359"/>
      <c r="R35" s="186"/>
      <c r="S35" s="186"/>
      <c r="T35" s="186"/>
      <c r="U35" s="186"/>
      <c r="V35" s="186"/>
      <c r="W35" s="186"/>
      <c r="X35" s="186"/>
      <c r="Y35" s="186"/>
      <c r="Z35" s="186"/>
      <c r="AA35" s="186"/>
      <c r="AB35" s="191"/>
      <c r="AC35" s="191" t="str">
        <f>IF(HLOOKUP($AC$5,名前2!$C:$J,31,0)=0,"",HLOOKUP($AC$5,名前2!$C:$J,31,0))</f>
        <v>圧力を動力源として用いる自動車をいう。</v>
      </c>
    </row>
    <row r="36" spans="1:29" ht="16.5" customHeight="1" x14ac:dyDescent="0.2">
      <c r="A36" s="243"/>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91"/>
      <c r="AC36" s="191" t="str">
        <f>IF(HLOOKUP($AC$5,名前2!$C:$J,32,0)=0,"",HLOOKUP($AC$5,名前2!$C:$J,32,0))</f>
        <v/>
      </c>
    </row>
    <row r="37" spans="1:29" ht="16.5" customHeight="1" x14ac:dyDescent="0.2">
      <c r="A37" s="243"/>
      <c r="B37" s="188" t="s">
        <v>259</v>
      </c>
      <c r="C37" s="189" t="str">
        <f>HYPERLINK("#手引き!B46","手引きへ戻る")</f>
        <v>手引きへ戻る</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91"/>
      <c r="AC37" s="191" t="str">
        <f>IF(HLOOKUP($AC$5,名前2!$C:$J,33,0)=0,"",HLOOKUP($AC$5,名前2!$C:$J,33,0))</f>
        <v/>
      </c>
    </row>
    <row r="38" spans="1:29" ht="16.5" customHeight="1" x14ac:dyDescent="0.2">
      <c r="A38" s="243"/>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91"/>
      <c r="AC38" s="191" t="str">
        <f>IF(HLOOKUP($AC$5,名前2!$C:$J,34,0)=0,"",HLOOKUP($AC$5,名前2!$C:$J,34,0))</f>
        <v/>
      </c>
    </row>
    <row r="39" spans="1:29" ht="16.5" customHeight="1" x14ac:dyDescent="0.2">
      <c r="AA39" s="186"/>
      <c r="AB39" s="191"/>
      <c r="AC39" s="191" t="str">
        <f>IF(HLOOKUP($AC$5,名前2!$C:$J,35,0)=0,"",HLOOKUP($AC$5,名前2!$C:$J,35,0))</f>
        <v/>
      </c>
    </row>
    <row r="40" spans="1:29" ht="16.5" customHeight="1" x14ac:dyDescent="0.2">
      <c r="AA40" s="186"/>
      <c r="AB40" s="191"/>
      <c r="AC40" s="191" t="str">
        <f>IF(HLOOKUP($AC$5,名前2!$C:$J,36,0)=0,"",HLOOKUP($AC$5,名前2!$C:$J,36,0))</f>
        <v/>
      </c>
    </row>
    <row r="41" spans="1:29" x14ac:dyDescent="0.2">
      <c r="AA41" s="186"/>
      <c r="AB41" s="191"/>
      <c r="AC41" s="191" t="str">
        <f>IF(HLOOKUP($AC$5,名前2!$C:$J,37,0)=0,"",HLOOKUP($AC$5,名前2!$C:$J,37,0))</f>
        <v/>
      </c>
    </row>
    <row r="42" spans="1:29" x14ac:dyDescent="0.2">
      <c r="AA42" s="186"/>
      <c r="AB42" s="191"/>
      <c r="AC42" s="191" t="str">
        <f>IF(HLOOKUP($AC$5,名前2!$C:$J,38,0)=0,"",HLOOKUP($AC$5,名前2!$C:$J,38,0))</f>
        <v/>
      </c>
    </row>
    <row r="43" spans="1:29" ht="13.5" customHeight="1" x14ac:dyDescent="0.2">
      <c r="AA43" s="186"/>
      <c r="AB43" s="191"/>
      <c r="AC43" s="191" t="str">
        <f>IF(HLOOKUP($AC$5,名前2!$C:$J,39,0)=0,"",HLOOKUP($AC$5,名前2!$C:$J,39,0))</f>
        <v/>
      </c>
    </row>
    <row r="44" spans="1:29" x14ac:dyDescent="0.2">
      <c r="AA44" s="186"/>
      <c r="AB44" s="191"/>
      <c r="AC44" s="191" t="str">
        <f>IF(HLOOKUP($AC$5,名前2!$C:$J,40,0)=0,"",HLOOKUP($AC$5,名前2!$C:$J,40,0))</f>
        <v/>
      </c>
    </row>
    <row r="45" spans="1:29" x14ac:dyDescent="0.2">
      <c r="AA45" s="186"/>
    </row>
    <row r="46" spans="1:29" x14ac:dyDescent="0.2">
      <c r="AA46" s="186"/>
    </row>
    <row r="47" spans="1:29" x14ac:dyDescent="0.2">
      <c r="AA47" s="186"/>
    </row>
  </sheetData>
  <sheetProtection algorithmName="SHA-512" hashValue="tdAWWhMY84fwBxSMDGXIDFTv4sbG5L26Du5zjkNYtomFvXlz9+g8Du5v2V8ez08nXVVfJNB1noQd4HJ7v9BvYQ==" saltValue="yNgPcwD9/Z89VqExJhz/XA==" spinCount="100000" sheet="1" objects="1" scenarios="1"/>
  <mergeCells count="46">
    <mergeCell ref="V27:W27"/>
    <mergeCell ref="X27:X28"/>
    <mergeCell ref="Y27:Z27"/>
    <mergeCell ref="C28:D28"/>
    <mergeCell ref="E28:H28"/>
    <mergeCell ref="Q28:R28"/>
    <mergeCell ref="V28:W28"/>
    <mergeCell ref="Y28:Z28"/>
    <mergeCell ref="U27:U28"/>
    <mergeCell ref="B27:B28"/>
    <mergeCell ref="C27:H27"/>
    <mergeCell ref="I27:N28"/>
    <mergeCell ref="P27:P28"/>
    <mergeCell ref="Q27:R27"/>
    <mergeCell ref="V17:W17"/>
    <mergeCell ref="X17:X18"/>
    <mergeCell ref="Y17:Z17"/>
    <mergeCell ref="C18:D18"/>
    <mergeCell ref="E18:H18"/>
    <mergeCell ref="Q18:R18"/>
    <mergeCell ref="V18:W18"/>
    <mergeCell ref="Y18:Z18"/>
    <mergeCell ref="U17:U18"/>
    <mergeCell ref="B17:B18"/>
    <mergeCell ref="C17:H17"/>
    <mergeCell ref="I17:N18"/>
    <mergeCell ref="P17:P18"/>
    <mergeCell ref="Q17:R17"/>
    <mergeCell ref="U7:U8"/>
    <mergeCell ref="V7:W7"/>
    <mergeCell ref="X7:X8"/>
    <mergeCell ref="Y7:Z7"/>
    <mergeCell ref="C8:D8"/>
    <mergeCell ref="E8:H8"/>
    <mergeCell ref="Q8:R8"/>
    <mergeCell ref="V8:W8"/>
    <mergeCell ref="Y8:Z8"/>
    <mergeCell ref="M1:R1"/>
    <mergeCell ref="B2:R2"/>
    <mergeCell ref="C3:S3"/>
    <mergeCell ref="C4:S4"/>
    <mergeCell ref="B7:B8"/>
    <mergeCell ref="C7:H7"/>
    <mergeCell ref="I7:N8"/>
    <mergeCell ref="P7:P8"/>
    <mergeCell ref="Q7:R7"/>
  </mergeCells>
  <phoneticPr fontId="1"/>
  <conditionalFormatting sqref="A9:A14 O9:O14">
    <cfRule type="expression" dxfId="14" priority="1">
      <formula>COUNTIF(A$9:A$14,"○")=1</formula>
    </cfRule>
  </conditionalFormatting>
  <conditionalFormatting sqref="A19:A24 O19:O24">
    <cfRule type="expression" dxfId="13" priority="2">
      <formula>COUNTIF(A$19:A$24,"○")=1</formula>
    </cfRule>
  </conditionalFormatting>
  <conditionalFormatting sqref="A29:A34 O29:O34">
    <cfRule type="expression" dxfId="12" priority="3">
      <formula>COUNTIF(A$29:A$34,"○")=1</formula>
    </cfRule>
  </conditionalFormatting>
  <hyperlinks>
    <hyperlink ref="C37" location="手引き!Print_Area" display="手引きへ戻る" xr:uid="{C78BD555-2F74-4942-B508-1FB2E5C99DCC}"/>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2852AA-C63D-402F-A050-14E11C6F176D}">
          <x14:formula1>
            <xm:f>名前2!$B$1:$B$2</xm:f>
          </x14:formula1>
          <xm:sqref>A9:A14 O9:O14 O19:O24 A19:A24 A29:A34 O29:O34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手引き</vt:lpstr>
      <vt:lpstr>申請書表紙</vt:lpstr>
      <vt:lpstr>別紙</vt:lpstr>
      <vt:lpstr>大阪</vt:lpstr>
      <vt:lpstr>京都市域</vt:lpstr>
      <vt:lpstr>京都北部</vt:lpstr>
      <vt:lpstr>神戸市域</vt:lpstr>
      <vt:lpstr>兵庫</vt:lpstr>
      <vt:lpstr>奈良</vt:lpstr>
      <vt:lpstr>滋賀</vt:lpstr>
      <vt:lpstr>和歌山</vt:lpstr>
      <vt:lpstr>名前2</vt:lpstr>
      <vt:lpstr>京都市域!Print_Area</vt:lpstr>
      <vt:lpstr>京都北部!Print_Area</vt:lpstr>
      <vt:lpstr>滋賀!Print_Area</vt:lpstr>
      <vt:lpstr>手引き!Print_Area</vt:lpstr>
      <vt:lpstr>申請書表紙!Print_Area</vt:lpstr>
      <vt:lpstr>神戸市域!Print_Area</vt:lpstr>
      <vt:lpstr>大阪!Print_Area</vt:lpstr>
      <vt:lpstr>奈良!Print_Area</vt:lpstr>
      <vt:lpstr>兵庫!Print_Area</vt:lpstr>
      <vt:lpstr>別紙!Print_Area</vt:lpstr>
      <vt:lpstr>和歌山!Print_Area</vt:lpstr>
      <vt:lpstr>京都市域!Print_Titles</vt:lpstr>
      <vt:lpstr>京都北部!Print_Titles</vt:lpstr>
      <vt:lpstr>滋賀!Print_Titles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