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７年度\★通達等改正\11_運賃・料金シミュレーター\"/>
    </mc:Choice>
  </mc:AlternateContent>
  <xr:revisionPtr revIDLastSave="0" documentId="13_ncr:1_{2BBB04B4-E546-41AC-8594-9FF3AC00E0E5}" xr6:coauthVersionLast="47" xr6:coauthVersionMax="47" xr10:uidLastSave="{00000000-0000-0000-0000-000000000000}"/>
  <bookViews>
    <workbookView xWindow="-110" yWindow="-110" windowWidth="19420" windowHeight="10300" activeTab="2"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使用上の注意点!$A$1:$L$76</definedName>
    <definedName name="_xlnm.Print_Area" localSheetId="1">時間入力シート!$A$1:$FD$132</definedName>
    <definedName name="_xlnm.Print_Area" localSheetId="2">時刻入力シート!$A$1:$CU$117</definedName>
    <definedName name="沖縄">公示運賃ｼｰﾄ!$AE$20:$AH$23</definedName>
    <definedName name="沖縄K">公示運賃ｼｰﾄ!$AE$16:$AH$19</definedName>
    <definedName name="沖縄交">公示運賃ｼｰﾄ!$AG$24:$AH$25</definedName>
    <definedName name="関東">公示運賃ｼｰﾄ!$Q$6:$T$9</definedName>
    <definedName name="関東K">公示運賃ｼｰﾄ!$Q$2:$T$5</definedName>
    <definedName name="関東交">公示運賃ｼｰﾄ!$S$10:$T$11</definedName>
    <definedName name="近畿">公示運賃ｼｰﾄ!$C$20:$F$23</definedName>
    <definedName name="近畿K">公示運賃ｼｰﾄ!$C$16:$F$19</definedName>
    <definedName name="近畿交">公示運賃ｼｰﾄ!$E$24:$F$25</definedName>
    <definedName name="九州">公示運賃ｼｰﾄ!$X$20:$AA$23</definedName>
    <definedName name="九州K">公示運賃ｼｰﾄ!$X$16:$AA$19</definedName>
    <definedName name="九州交">公示運賃ｼｰﾄ!$Z$24:$AA$25</definedName>
    <definedName name="四国">公示運賃ｼｰﾄ!$Q$20:$T$23</definedName>
    <definedName name="四国K">公示運賃ｼｰﾄ!$Q$16:$T$19</definedName>
    <definedName name="四国交">公示運賃ｼｰﾄ!$S$24:$T$25</definedName>
    <definedName name="中国">公示運賃ｼｰﾄ!$J$20:$M$23</definedName>
    <definedName name="中国K">公示運賃ｼｰﾄ!$J$16:$M$19</definedName>
    <definedName name="中国交">公示運賃ｼｰﾄ!$L$24:$M$25</definedName>
    <definedName name="中部">公示運賃ｼｰﾄ!$AE$6:$AH$9</definedName>
    <definedName name="中部K">公示運賃ｼｰﾄ!$AE$2:$AH$5</definedName>
    <definedName name="中部交">公示運賃ｼｰﾄ!$AG$10:$AH$11</definedName>
    <definedName name="東北">公示運賃ｼｰﾄ!$J$6:$M$9</definedName>
    <definedName name="東北K">公示運賃ｼｰﾄ!$J$2:$M$5</definedName>
    <definedName name="東北交">公示運賃ｼｰﾄ!$L$10:$M$11</definedName>
    <definedName name="北海道">公示運賃ｼｰﾄ!$C$6:$F$9</definedName>
    <definedName name="北海道K">公示運賃ｼｰﾄ!$C$2:$F$5</definedName>
    <definedName name="北海道交">公示運賃ｼｰﾄ!$E$10:$F$11</definedName>
    <definedName name="北陸">公示運賃ｼｰﾄ!$X$6:$AA$9</definedName>
    <definedName name="北陸K">公示運賃ｼｰﾄ!$X$2:$AA$5</definedName>
    <definedName name="北陸交">公示運賃ｼｰﾄ!$Z$10:$AA$11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5" i="7" l="1"/>
  <c r="AX4" i="1"/>
  <c r="Z98" i="7"/>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CN31" i="7" s="1"/>
  <c r="BY31" i="7" s="1"/>
  <c r="BU31" i="7" s="1"/>
  <c r="AB31" i="7"/>
  <c r="G31" i="7"/>
  <c r="AI31" i="7" s="1"/>
  <c r="CJ29" i="7"/>
  <c r="BP29" i="7" s="1"/>
  <c r="CF29" i="7"/>
  <c r="AB29" i="7"/>
  <c r="G29" i="7"/>
  <c r="CJ27" i="7"/>
  <c r="CF27" i="7"/>
  <c r="AB27" i="7"/>
  <c r="G27" i="7"/>
  <c r="CJ25" i="7"/>
  <c r="CF25" i="7"/>
  <c r="AI25" i="7"/>
  <c r="AB25" i="7"/>
  <c r="G25" i="7"/>
  <c r="AF25" i="7" s="1"/>
  <c r="CJ23" i="7"/>
  <c r="CF23" i="7"/>
  <c r="AB23" i="7"/>
  <c r="G23" i="7"/>
  <c r="CJ21" i="7"/>
  <c r="CF21" i="7"/>
  <c r="AB21" i="7"/>
  <c r="G21" i="7"/>
  <c r="CJ19" i="7"/>
  <c r="CF19" i="7"/>
  <c r="CN19" i="7" s="1"/>
  <c r="BY19" i="7" s="1"/>
  <c r="BU19" i="7" s="1"/>
  <c r="AB19" i="7"/>
  <c r="AI19" i="7" s="1"/>
  <c r="G19" i="7"/>
  <c r="CJ17" i="7"/>
  <c r="CF17" i="7"/>
  <c r="CN17" i="7" s="1"/>
  <c r="BY17" i="7" s="1"/>
  <c r="BU17" i="7" s="1"/>
  <c r="CC17" i="7" s="1"/>
  <c r="AB17" i="7"/>
  <c r="AI17" i="7" s="1"/>
  <c r="G17" i="7"/>
  <c r="CJ15" i="7"/>
  <c r="CF15" i="7"/>
  <c r="AB15" i="7"/>
  <c r="G15" i="7"/>
  <c r="CJ13" i="7"/>
  <c r="CF13" i="7"/>
  <c r="AB13" i="7"/>
  <c r="G13" i="7"/>
  <c r="N92" i="7"/>
  <c r="J92" i="7"/>
  <c r="J90" i="7"/>
  <c r="N90" i="7"/>
  <c r="R10" i="1"/>
  <c r="R37" i="7"/>
  <c r="S11" i="7"/>
  <c r="N37" i="7"/>
  <c r="BP17" i="7" l="1"/>
  <c r="BP31" i="7"/>
  <c r="W32" i="7"/>
  <c r="CN25" i="7"/>
  <c r="BY25" i="7" s="1"/>
  <c r="BU25" i="7" s="1"/>
  <c r="W18" i="7"/>
  <c r="CN13" i="7"/>
  <c r="BY13" i="7" s="1"/>
  <c r="BU13" i="7" s="1"/>
  <c r="BR13" i="7" s="1"/>
  <c r="AF17" i="7"/>
  <c r="CN23" i="7"/>
  <c r="BY23" i="7" s="1"/>
  <c r="BU23" i="7" s="1"/>
  <c r="BR23" i="7" s="1"/>
  <c r="BR31" i="7"/>
  <c r="CC31" i="7"/>
  <c r="CN29" i="7"/>
  <c r="BY29" i="7" s="1"/>
  <c r="BU29" i="7" s="1"/>
  <c r="BR29" i="7" s="1"/>
  <c r="Y48" i="7"/>
  <c r="AF23" i="7"/>
  <c r="AN23" i="7" s="1"/>
  <c r="W26" i="7"/>
  <c r="AF31" i="7"/>
  <c r="BP23" i="7"/>
  <c r="CN15" i="7"/>
  <c r="BY15" i="7" s="1"/>
  <c r="BU15" i="7" s="1"/>
  <c r="BP27" i="7"/>
  <c r="BP21" i="7"/>
  <c r="J98" i="7"/>
  <c r="R98" i="7"/>
  <c r="U46" i="7"/>
  <c r="U48" i="7"/>
  <c r="J95" i="7"/>
  <c r="R95" i="7"/>
  <c r="CC23" i="7"/>
  <c r="CC19" i="7"/>
  <c r="BR19" i="7"/>
  <c r="W24" i="7"/>
  <c r="W28" i="7"/>
  <c r="AF27" i="7"/>
  <c r="AI29" i="7"/>
  <c r="W30" i="7"/>
  <c r="AF29" i="7"/>
  <c r="BR17" i="7"/>
  <c r="BP19" i="7"/>
  <c r="W95" i="7"/>
  <c r="AQ17" i="7"/>
  <c r="AN17" i="7"/>
  <c r="W20" i="7"/>
  <c r="AF19" i="7"/>
  <c r="AI21" i="7"/>
  <c r="W22" i="7"/>
  <c r="AF21" i="7"/>
  <c r="CN21" i="7"/>
  <c r="BY21" i="7" s="1"/>
  <c r="BU21" i="7" s="1"/>
  <c r="BP25" i="7"/>
  <c r="AI27" i="7"/>
  <c r="CN27" i="7"/>
  <c r="BY27" i="7" s="1"/>
  <c r="BU27" i="7" s="1"/>
  <c r="AQ25" i="7"/>
  <c r="AN25" i="7"/>
  <c r="AI23" i="7"/>
  <c r="Y46" i="7"/>
  <c r="Q40" i="7"/>
  <c r="W98" i="7"/>
  <c r="W39" i="7"/>
  <c r="AH113" i="1"/>
  <c r="R37" i="1"/>
  <c r="N11" i="7"/>
  <c r="CC13" i="7" l="1"/>
  <c r="BR25" i="7"/>
  <c r="CC25" i="7"/>
  <c r="CC29" i="7"/>
  <c r="BP13" i="7"/>
  <c r="W14" i="7" s="1"/>
  <c r="BP15" i="7"/>
  <c r="W16" i="7" s="1"/>
  <c r="AQ23" i="7"/>
  <c r="BR15" i="7"/>
  <c r="AF15" i="7" s="1"/>
  <c r="CC15" i="7"/>
  <c r="AN31" i="7"/>
  <c r="AQ31" i="7"/>
  <c r="K46" i="7"/>
  <c r="K48" i="7"/>
  <c r="AQ29" i="7"/>
  <c r="AN29" i="7"/>
  <c r="BR21" i="7"/>
  <c r="CC21" i="7"/>
  <c r="AQ19" i="7"/>
  <c r="AN19" i="7"/>
  <c r="CC27" i="7"/>
  <c r="BR27" i="7"/>
  <c r="AQ21" i="7"/>
  <c r="AN21" i="7"/>
  <c r="AQ27" i="7"/>
  <c r="AN27" i="7"/>
  <c r="AF13" i="7" l="1"/>
  <c r="AN15" i="7"/>
  <c r="AQ15" i="7"/>
  <c r="AI15" i="7"/>
  <c r="AQ13" i="7"/>
  <c r="AN13" i="7"/>
  <c r="AD34" i="7"/>
  <c r="AI13" i="7"/>
  <c r="S89" i="1"/>
  <c r="AF33" i="7" l="1"/>
  <c r="O48" i="7" s="1"/>
  <c r="AQ33" i="7"/>
  <c r="U69" i="7" s="1"/>
  <c r="N98" i="7"/>
  <c r="AA98" i="7" s="1"/>
  <c r="AK113" i="7" s="1"/>
  <c r="N95" i="7"/>
  <c r="AA95" i="7" s="1"/>
  <c r="AK105" i="7" s="1"/>
  <c r="U72" i="7" l="1"/>
  <c r="Y72" i="7"/>
  <c r="AH65" i="7"/>
  <c r="Y64" i="7"/>
  <c r="AB62" i="7"/>
  <c r="AC71" i="7"/>
  <c r="C58" i="7"/>
  <c r="U58" i="7"/>
  <c r="AH72" i="7"/>
  <c r="AT65" i="7"/>
  <c r="U65" i="7"/>
  <c r="AN62" i="7"/>
  <c r="M72" i="7"/>
  <c r="AT62" i="7"/>
  <c r="Z72" i="7"/>
  <c r="AC61" i="7"/>
  <c r="AC69" i="7"/>
  <c r="AB65" i="7"/>
  <c r="J61" i="7"/>
  <c r="J68" i="7"/>
  <c r="J69" i="7"/>
  <c r="Y65" i="7"/>
  <c r="AH62" i="7"/>
  <c r="M62" i="7"/>
  <c r="U71" i="7"/>
  <c r="Y71" i="7"/>
  <c r="Z61" i="7"/>
  <c r="K56" i="7"/>
  <c r="U68" i="7"/>
  <c r="AB68" i="7"/>
  <c r="M64" i="7"/>
  <c r="AB72" i="7"/>
  <c r="M65" i="7"/>
  <c r="Y62" i="7"/>
  <c r="H58" i="7"/>
  <c r="AC68" i="7"/>
  <c r="Z69" i="7"/>
  <c r="AB64" i="7"/>
  <c r="AN72" i="7"/>
  <c r="AC64" i="7"/>
  <c r="Z64" i="7"/>
  <c r="Z68" i="7"/>
  <c r="Y58" i="7"/>
  <c r="J71" i="7"/>
  <c r="J65" i="7"/>
  <c r="O46" i="7"/>
  <c r="J57" i="7"/>
  <c r="AT69" i="7"/>
  <c r="AN65" i="7"/>
  <c r="M61" i="7"/>
  <c r="AB69" i="7"/>
  <c r="Z71" i="7"/>
  <c r="Z65" i="7"/>
  <c r="AF48" i="7"/>
  <c r="F84" i="7" s="1"/>
  <c r="P84" i="7" s="1"/>
  <c r="AD113" i="7" s="1"/>
  <c r="C60" i="7"/>
  <c r="AC72" i="7"/>
  <c r="Y69" i="7"/>
  <c r="AB61" i="7"/>
  <c r="AN69" i="7"/>
  <c r="F57" i="7"/>
  <c r="C67" i="7"/>
  <c r="AF46" i="7"/>
  <c r="O53" i="7" s="1"/>
  <c r="AC62" i="7"/>
  <c r="L58" i="7"/>
  <c r="AH71" i="7"/>
  <c r="J62" i="7"/>
  <c r="M71" i="7"/>
  <c r="I58" i="7"/>
  <c r="Y68" i="7"/>
  <c r="M68" i="7"/>
  <c r="U64" i="7"/>
  <c r="M69" i="7"/>
  <c r="AH69" i="7"/>
  <c r="Y61" i="7"/>
  <c r="AH64" i="7"/>
  <c r="Z62" i="7"/>
  <c r="AB71" i="7"/>
  <c r="AC58" i="7"/>
  <c r="AH68" i="7"/>
  <c r="AH61" i="7"/>
  <c r="U62" i="7"/>
  <c r="AC65" i="7"/>
  <c r="J64" i="7"/>
  <c r="J72" i="7"/>
  <c r="U61" i="7"/>
  <c r="AI62" i="7"/>
  <c r="AI69" i="7"/>
  <c r="AI72" i="7"/>
  <c r="AI65" i="7"/>
  <c r="AQ33" i="1"/>
  <c r="AI61" i="7" l="1"/>
  <c r="AO62" i="7" s="1"/>
  <c r="X105" i="7" s="1"/>
  <c r="AI68" i="7"/>
  <c r="AO69" i="7" s="1"/>
  <c r="AI64" i="7"/>
  <c r="AO65" i="7" s="1"/>
  <c r="S67" i="1"/>
  <c r="D69" i="1"/>
  <c r="AI71" i="7"/>
  <c r="AO72" i="7" s="1"/>
  <c r="X113" i="7" s="1"/>
  <c r="R113" i="7"/>
  <c r="F81" i="7"/>
  <c r="P81" i="7" s="1"/>
  <c r="L51" i="7"/>
  <c r="V51" i="7" s="1"/>
  <c r="AB53" i="7" s="1"/>
  <c r="F80" i="7" s="1"/>
  <c r="P80" i="7" s="1"/>
  <c r="AD105" i="7" s="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L109" i="7" l="1"/>
  <c r="L111" i="7" s="1"/>
  <c r="L113" i="7" s="1"/>
  <c r="R105" i="7"/>
  <c r="L101" i="7" s="1"/>
  <c r="F83" i="7"/>
  <c r="P83" i="7" s="1"/>
  <c r="L103" i="7" l="1"/>
  <c r="L105" i="7" s="1"/>
  <c r="B117" i="7" l="1"/>
  <c r="Q116" i="7"/>
  <c r="K116" i="7"/>
  <c r="B116" i="7"/>
  <c r="AF93" i="1"/>
  <c r="P98" i="1"/>
  <c r="S98" i="1"/>
  <c r="O98" i="1"/>
  <c r="AP97" i="1"/>
  <c r="AI97" i="1"/>
  <c r="AH97" i="1"/>
  <c r="AE97" i="1"/>
  <c r="AB54" i="1" l="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<sst xmlns="http://schemas.openxmlformats.org/spreadsheetml/2006/main" count="633" uniqueCount="137">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</sst>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67">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Fill="1" applyAlignment="1" applyProtection="1">
      <alignment horizontal="center" vertical="center"/>
      <protection hidden="1"/>
    </xf>
    <xf numFmtId="0" fontId="7" fillId="0" borderId="0" xfId="0" applyFont="1" applyFill="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Fill="1" applyProtection="1">
      <alignment vertical="center"/>
      <protection hidden="1"/>
    </xf>
    <xf numFmtId="0" fontId="30" fillId="0" borderId="0" xfId="0" applyFont="1" applyFill="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3" fillId="0" borderId="0" xfId="0" applyFont="1" applyFill="1" applyAlignment="1" applyProtection="1">
      <alignment horizontal="center"/>
      <protection hidden="1"/>
    </xf>
    <xf numFmtId="0" fontId="16" fillId="0" borderId="0" xfId="0" applyFont="1" applyFill="1" applyProtection="1">
      <alignment vertical="center"/>
      <protection hidden="1"/>
    </xf>
    <xf numFmtId="0" fontId="28" fillId="0" borderId="0" xfId="0" applyFont="1" applyFill="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0" fontId="30" fillId="0" borderId="0" xfId="0" applyFont="1" applyFill="1" applyAlignment="1" applyProtection="1">
      <alignment vertical="center"/>
      <protection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38" fontId="4"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9" fontId="4" fillId="0" borderId="0" xfId="1" applyNumberFormat="1" applyFont="1" applyFill="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4" fillId="0" borderId="0" xfId="1" applyFont="1" applyFill="1" applyAlignment="1" applyProtection="1">
      <alignment horizontal="center" vertical="center"/>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0" xfId="1" applyFont="1" applyFill="1" applyAlignment="1" applyProtection="1">
      <alignment horizontal="center" vertical="center"/>
      <protection hidden="1"/>
    </xf>
    <xf numFmtId="38" fontId="7" fillId="0" borderId="4" xfId="1" applyFont="1" applyFill="1" applyBorder="1" applyProtection="1">
      <alignment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7" fillId="0" borderId="0" xfId="1" applyFont="1" applyFill="1" applyAlignment="1" applyProtection="1">
      <alignment horizontal="center"/>
      <protection hidden="1"/>
    </xf>
    <xf numFmtId="180" fontId="35"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9" fontId="7"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9" fontId="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38" fontId="3" fillId="0" borderId="0" xfId="1" applyFont="1" applyFill="1" applyAlignment="1" applyProtection="1">
      <alignment horizontal="left" vertical="top"/>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pplyProtection="1">
      <alignment horizontal="center" vertical="center"/>
    </xf>
    <xf numFmtId="0" fontId="0" fillId="0" borderId="0" xfId="0" applyProtection="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0" xfId="0" applyFill="1" applyProtection="1">
      <alignment vertical="center"/>
    </xf>
    <xf numFmtId="0" fontId="0" fillId="0" borderId="5" xfId="0" applyFill="1" applyBorder="1" applyAlignment="1" applyProtection="1">
      <alignment vertical="center"/>
    </xf>
    <xf numFmtId="0" fontId="0" fillId="0" borderId="5" xfId="0"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Fill="1" applyAlignment="1" applyProtection="1">
      <alignment horizontal="left" vertical="center" wrapText="1"/>
    </xf>
    <xf numFmtId="38" fontId="4" fillId="0" borderId="0" xfId="1" applyFont="1" applyFill="1" applyAlignment="1" applyProtection="1">
      <alignment horizontal="center" vertical="center"/>
      <protection hidden="1"/>
    </xf>
    <xf numFmtId="0" fontId="0" fillId="0" borderId="5" xfId="0" applyBorder="1" applyAlignment="1" applyProtection="1">
      <alignment horizontal="center" vertical="center"/>
    </xf>
    <xf numFmtId="0" fontId="0" fillId="0" borderId="5" xfId="0" applyBorder="1" applyAlignment="1" applyProtection="1">
      <alignment horizontal="center" vertical="center"/>
    </xf>
    <xf numFmtId="38" fontId="30" fillId="0" borderId="0" xfId="1" applyFont="1" applyFill="1" applyBorder="1" applyAlignment="1" applyProtection="1">
      <alignment vertical="top"/>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3" fillId="0" borderId="0" xfId="1" applyFont="1" applyFill="1" applyBorder="1" applyAlignment="1" applyProtection="1">
      <alignment vertical="center"/>
      <protection hidden="1"/>
    </xf>
    <xf numFmtId="38" fontId="19" fillId="0" borderId="0" xfId="1" applyFont="1" applyFill="1" applyAlignment="1" applyProtection="1">
      <alignment vertical="center"/>
      <protection hidden="1"/>
    </xf>
    <xf numFmtId="180" fontId="35" fillId="0" borderId="0" xfId="1" applyNumberFormat="1" applyFont="1" applyFill="1" applyAlignment="1" applyProtection="1">
      <alignment horizontal="left" vertical="center" wrapText="1"/>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NumberFormat="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4" fillId="0" borderId="0" xfId="1" applyFont="1" applyFill="1" applyBorder="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38" fontId="23" fillId="0" borderId="0" xfId="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Fill="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5" xfId="0" applyFill="1" applyBorder="1" applyAlignment="1" applyProtection="1">
      <alignment horizontal="center" vertical="center" wrapText="1"/>
    </xf>
    <xf numFmtId="0" fontId="0" fillId="0" borderId="5" xfId="0" applyBorder="1" applyAlignment="1" applyProtection="1">
      <alignment horizontal="center" vertical="center"/>
    </xf>
    <xf numFmtId="0" fontId="0" fillId="0" borderId="5" xfId="0" applyBorder="1" applyAlignment="1" applyProtection="1">
      <alignment horizontal="left"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Radio" firstButton="1" fmlaLink="$AX$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X$102" lockText="1"/>
</file>

<file path=xl/ctrlProps/ctrlProp9.xml><?xml version="1.0" encoding="utf-8"?>
<formControlPr xmlns="http://schemas.microsoft.com/office/spreadsheetml/2009/9/main" objectType="CheckBox" checked="Checked" fmlaLink="$AX86" lockText="1"/>
</file>

<file path=xl/ctrlProps/ctrlProp10.xml><?xml version="1.0" encoding="utf-8"?>
<formControlPr xmlns="http://schemas.microsoft.com/office/spreadsheetml/2009/9/main" objectType="Drop" dropLines="10" dropStyle="combo" dx="16" fmlaLink="$AX$5" fmlaRange="$AY$14:$AY$23" sel="3"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BA$78" lockText="1"/>
</file>

<file path=xl/ctrlProps/ctrlProp16.xml><?xml version="1.0" encoding="utf-8"?>
<formControlPr xmlns="http://schemas.microsoft.com/office/spreadsheetml/2009/9/main" objectType="CheckBox" fmlaLink="$BA$91" lockText="1"/>
</file>

<file path=xl/ctrlProps/ctrlProp17.xml><?xml version="1.0" encoding="utf-8"?>
<formControlPr xmlns="http://schemas.microsoft.com/office/spreadsheetml/2009/9/main" objectType="Drop" dropLines="10" dropStyle="combo" dx="16" fmlaLink="$BC$5" fmlaRange="$BS$40:$BS$49" sel="1" val="0"/>
</file>

<file path=xl/ctrlProps/ctrlProp18.xml><?xml version="1.0" encoding="utf-8"?>
<formControlPr xmlns="http://schemas.microsoft.com/office/spreadsheetml/2009/9/main" objectType="Radio" firstButton="1" fmlaLink="$BC$1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25400</xdr:rowOff>
    </xdr:from>
    <xdr:to>
      <xdr:col>12</xdr:col>
      <xdr:colOff>7407</xdr:colOff>
      <xdr:row>74</xdr:row>
      <xdr:rowOff>119063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5400"/>
          <a:ext cx="7270220" cy="11841163"/>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Ver.7.0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７年９月２６日公示）されている貸切バスの運賃・料金の基準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ver.7.0 </a:t>
          </a:r>
          <a:r>
            <a:rPr lang="ja-JP" altLang="en-US">
              <a:effectLst/>
            </a:rPr>
            <a:t>令和</a:t>
          </a:r>
          <a:r>
            <a:rPr lang="en-US" altLang="ja-JP">
              <a:effectLst/>
            </a:rPr>
            <a:t>7</a:t>
          </a:r>
          <a:r>
            <a:rPr lang="ja-JP" altLang="en-US">
              <a:effectLst/>
            </a:rPr>
            <a:t>年</a:t>
          </a:r>
          <a:r>
            <a:rPr lang="en-US" altLang="ja-JP">
              <a:effectLst/>
            </a:rPr>
            <a:t>9</a:t>
          </a:r>
          <a:r>
            <a:rPr lang="ja-JP" altLang="en-US">
              <a:effectLst/>
            </a:rPr>
            <a:t>月　  公示運賃・料金の改定に伴い、修正しました。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31220</xdr:colOff>
      <xdr:row>4</xdr:row>
      <xdr:rowOff>145520</xdr:rowOff>
    </xdr:from>
    <xdr:to>
      <xdr:col>9</xdr:col>
      <xdr:colOff>212195</xdr:colOff>
      <xdr:row>6</xdr:row>
      <xdr:rowOff>21695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1553" y="1023937"/>
          <a:ext cx="625475" cy="33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18520</xdr:colOff>
      <xdr:row>4</xdr:row>
      <xdr:rowOff>144991</xdr:rowOff>
    </xdr:from>
    <xdr:to>
      <xdr:col>13</xdr:col>
      <xdr:colOff>123295</xdr:colOff>
      <xdr:row>6</xdr:row>
      <xdr:rowOff>27516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91353" y="1023408"/>
          <a:ext cx="61277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179917</xdr:colOff>
      <xdr:row>4</xdr:row>
      <xdr:rowOff>155575</xdr:rowOff>
    </xdr:from>
    <xdr:to>
      <xdr:col>18</xdr:col>
      <xdr:colOff>88548</xdr:colOff>
      <xdr:row>6</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14750" y="1033992"/>
          <a:ext cx="83996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18</xdr:col>
      <xdr:colOff>165162</xdr:colOff>
      <xdr:row>4</xdr:row>
      <xdr:rowOff>144990</xdr:rowOff>
    </xdr:from>
    <xdr:to>
      <xdr:col>23</xdr:col>
      <xdr:colOff>69852</xdr:colOff>
      <xdr:row>6</xdr:row>
      <xdr:rowOff>33865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631329" y="1023407"/>
          <a:ext cx="1227606" cy="34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68793</xdr:colOff>
      <xdr:row>4</xdr:row>
      <xdr:rowOff>154518</xdr:rowOff>
    </xdr:from>
    <xdr:to>
      <xdr:col>23</xdr:col>
      <xdr:colOff>144993</xdr:colOff>
      <xdr:row>6</xdr:row>
      <xdr:rowOff>27518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619126" y="1032935"/>
          <a:ext cx="5314950" cy="328083"/>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120650</xdr:colOff>
          <xdr:row>5</xdr:row>
          <xdr:rowOff>69850</xdr:rowOff>
        </xdr:from>
        <xdr:to>
          <xdr:col>9</xdr:col>
          <xdr:colOff>31750</xdr:colOff>
          <xdr:row>5</xdr:row>
          <xdr:rowOff>241300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5</xdr:row>
          <xdr:rowOff>63500</xdr:rowOff>
        </xdr:from>
        <xdr:to>
          <xdr:col>12</xdr:col>
          <xdr:colOff>165100</xdr:colOff>
          <xdr:row>5</xdr:row>
          <xdr:rowOff>241300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5</xdr:row>
          <xdr:rowOff>82550</xdr:rowOff>
        </xdr:from>
        <xdr:to>
          <xdr:col>16</xdr:col>
          <xdr:colOff>88900</xdr:colOff>
          <xdr:row>5</xdr:row>
          <xdr:rowOff>254000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29</xdr:col>
          <xdr:colOff>38100</xdr:colOff>
          <xdr:row>6</xdr:row>
          <xdr:rowOff>69850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50800</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31750</xdr:colOff>
          <xdr:row>86</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12700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5</xdr:row>
          <xdr:rowOff>69850</xdr:rowOff>
        </xdr:from>
        <xdr:to>
          <xdr:col>19</xdr:col>
          <xdr:colOff>190500</xdr:colOff>
          <xdr:row>5</xdr:row>
          <xdr:rowOff>241300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146578</xdr:colOff>
      <xdr:row>4</xdr:row>
      <xdr:rowOff>289000</xdr:rowOff>
    </xdr:from>
    <xdr:to>
      <xdr:col>10</xdr:col>
      <xdr:colOff>70378</xdr:colOff>
      <xdr:row>6</xdr:row>
      <xdr:rowOff>10585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66911" y="1167417"/>
          <a:ext cx="622300" cy="346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141286</xdr:colOff>
      <xdr:row>4</xdr:row>
      <xdr:rowOff>289227</xdr:rowOff>
    </xdr:from>
    <xdr:to>
      <xdr:col>13</xdr:col>
      <xdr:colOff>246061</xdr:colOff>
      <xdr:row>5</xdr:row>
      <xdr:rowOff>291509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14119" y="1167644"/>
          <a:ext cx="612775" cy="33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15</xdr:col>
      <xdr:colOff>48683</xdr:colOff>
      <xdr:row>4</xdr:row>
      <xdr:rowOff>295577</xdr:rowOff>
    </xdr:from>
    <xdr:to>
      <xdr:col>19</xdr:col>
      <xdr:colOff>1057</xdr:colOff>
      <xdr:row>6</xdr:row>
      <xdr:rowOff>1526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837516" y="1173994"/>
          <a:ext cx="788458" cy="33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19</xdr:col>
      <xdr:colOff>147259</xdr:colOff>
      <xdr:row>4</xdr:row>
      <xdr:rowOff>287867</xdr:rowOff>
    </xdr:from>
    <xdr:to>
      <xdr:col>25</xdr:col>
      <xdr:colOff>220837</xdr:colOff>
      <xdr:row>5</xdr:row>
      <xdr:rowOff>286053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772176" y="1166284"/>
          <a:ext cx="1364744" cy="32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43391</xdr:colOff>
      <xdr:row>4</xdr:row>
      <xdr:rowOff>288168</xdr:rowOff>
    </xdr:from>
    <xdr:to>
      <xdr:col>26</xdr:col>
      <xdr:colOff>127000</xdr:colOff>
      <xdr:row>6</xdr:row>
      <xdr:rowOff>40216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3724" y="1166585"/>
          <a:ext cx="5671609"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69850</xdr:colOff>
          <xdr:row>5</xdr:row>
          <xdr:rowOff>203200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25</xdr:col>
          <xdr:colOff>19050</xdr:colOff>
          <xdr:row>44</xdr:row>
          <xdr:rowOff>12700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85</xdr:row>
          <xdr:rowOff>0</xdr:rowOff>
        </xdr:from>
        <xdr:to>
          <xdr:col>4</xdr:col>
          <xdr:colOff>114300</xdr:colOff>
          <xdr:row>86</xdr:row>
          <xdr:rowOff>88900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146050</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5</xdr:row>
          <xdr:rowOff>50800</xdr:rowOff>
        </xdr:from>
        <xdr:to>
          <xdr:col>9</xdr:col>
          <xdr:colOff>196850</xdr:colOff>
          <xdr:row>5</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5</xdr:row>
          <xdr:rowOff>63500</xdr:rowOff>
        </xdr:from>
        <xdr:to>
          <xdr:col>13</xdr:col>
          <xdr:colOff>120650</xdr:colOff>
          <xdr:row>5</xdr:row>
          <xdr:rowOff>234950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50800</xdr:rowOff>
        </xdr:from>
        <xdr:to>
          <xdr:col>18</xdr:col>
          <xdr:colOff>6350</xdr:colOff>
          <xdr:row>5</xdr:row>
          <xdr:rowOff>209550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xdr:row>
          <xdr:rowOff>311150</xdr:rowOff>
        </xdr:from>
        <xdr:to>
          <xdr:col>22</xdr:col>
          <xdr:colOff>146050</xdr:colOff>
          <xdr:row>5</xdr:row>
          <xdr:rowOff>285750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view="pageBreakPreview" topLeftCell="A13" zoomScale="96" zoomScaleNormal="100" zoomScaleSheetLayoutView="96" workbookViewId="0">
      <selection activeCell="N67" sqref="N67"/>
    </sheetView>
  </sheetViews>
  <sheetFormatPr defaultRowHeight="13" x14ac:dyDescent="0.2"/>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136"/>
  <sheetViews>
    <sheetView showGridLines="0" view="pageBreakPreview" topLeftCell="A33" zoomScale="90" zoomScaleNormal="90" zoomScaleSheetLayoutView="90" workbookViewId="0">
      <selection activeCell="P13" sqref="P13:Q13"/>
    </sheetView>
  </sheetViews>
  <sheetFormatPr defaultColWidth="9" defaultRowHeight="13" zeroHeight="1" x14ac:dyDescent="0.2"/>
  <cols>
    <col min="1" max="2" width="4" style="5" customWidth="1"/>
    <col min="3" max="7" width="3.6328125" style="5" customWidth="1"/>
    <col min="8" max="9" width="3.08984375" style="5" customWidth="1"/>
    <col min="10" max="15" width="3.6328125" style="5" customWidth="1"/>
    <col min="16" max="16" width="2.6328125" style="5" customWidth="1"/>
    <col min="17" max="17" width="3.36328125" style="5" customWidth="1"/>
    <col min="18" max="18" width="3.7265625" style="151" customWidth="1"/>
    <col min="19" max="20" width="4.453125" style="5" customWidth="1"/>
    <col min="21" max="21" width="2.6328125" style="5" customWidth="1"/>
    <col min="22" max="23" width="3.6328125" style="5" customWidth="1"/>
    <col min="24" max="24" width="4.2695312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40" width="2.6328125" style="5" customWidth="1"/>
    <col min="41" max="42" width="2.7265625" style="5" customWidth="1"/>
    <col min="43" max="44" width="3.08984375" style="5" customWidth="1"/>
    <col min="45" max="45" width="3.6328125" style="5" customWidth="1"/>
    <col min="46" max="47" width="3.90625" style="5" customWidth="1"/>
    <col min="48" max="49" width="3.90625" style="8" customWidth="1"/>
    <col min="50" max="50" width="7" style="24" hidden="1" customWidth="1"/>
    <col min="51" max="51" width="9.26953125" style="24" hidden="1" customWidth="1"/>
    <col min="52" max="52" width="4" style="24" hidden="1" customWidth="1"/>
    <col min="53" max="54" width="3.90625" style="24" hidden="1" customWidth="1"/>
    <col min="55" max="55" width="3.26953125" style="24" hidden="1" customWidth="1"/>
    <col min="56" max="56" width="3.90625" style="24" hidden="1" customWidth="1"/>
    <col min="57" max="62" width="3.453125" style="24" hidden="1" customWidth="1"/>
    <col min="63" max="63" width="9.90625" style="24" hidden="1" customWidth="1"/>
    <col min="64" max="64" width="9.90625" style="5" hidden="1" customWidth="1"/>
    <col min="65" max="65" width="11.90625" style="5" hidden="1" customWidth="1"/>
    <col min="66" max="66" width="3.36328125" style="5" hidden="1" customWidth="1"/>
    <col min="67" max="67" width="8.7265625" style="5" hidden="1" customWidth="1"/>
    <col min="68" max="68" width="9" style="5" hidden="1" customWidth="1"/>
    <col min="69" max="69" width="7.6328125" style="5" hidden="1" customWidth="1"/>
    <col min="70" max="108" width="0" style="5" hidden="1" customWidth="1"/>
    <col min="109" max="16384" width="9" style="5"/>
  </cols>
  <sheetData>
    <row r="1" spans="2:70" ht="6.75" customHeight="1" thickBot="1" x14ac:dyDescent="0.25">
      <c r="D1" s="264" t="s">
        <v>92</v>
      </c>
      <c r="E1" s="264"/>
      <c r="F1" s="264"/>
      <c r="G1" s="264"/>
      <c r="H1" s="264"/>
      <c r="I1" s="264"/>
      <c r="J1" s="264"/>
      <c r="K1" s="264"/>
      <c r="L1" s="264"/>
      <c r="M1" s="264"/>
      <c r="N1" s="264"/>
      <c r="O1" s="264"/>
      <c r="P1" s="264"/>
      <c r="Q1" s="264"/>
      <c r="R1" s="264"/>
      <c r="S1" s="264"/>
      <c r="T1" s="264"/>
      <c r="U1" s="264"/>
      <c r="V1" s="264"/>
      <c r="W1" s="264"/>
      <c r="X1" s="264"/>
      <c r="Y1" s="264"/>
      <c r="Z1" s="264"/>
      <c r="AA1" s="264"/>
    </row>
    <row r="2" spans="2:70" ht="21" customHeight="1" thickBot="1" x14ac:dyDescent="0.25">
      <c r="D2" s="264"/>
      <c r="E2" s="264"/>
      <c r="F2" s="264"/>
      <c r="G2" s="264"/>
      <c r="H2" s="264"/>
      <c r="I2" s="264"/>
      <c r="J2" s="264"/>
      <c r="K2" s="264"/>
      <c r="L2" s="264"/>
      <c r="M2" s="264"/>
      <c r="N2" s="264"/>
      <c r="O2" s="264"/>
      <c r="P2" s="264"/>
      <c r="Q2" s="264"/>
      <c r="R2" s="264"/>
      <c r="S2" s="264"/>
      <c r="T2" s="264"/>
      <c r="U2" s="264"/>
      <c r="V2" s="264"/>
      <c r="W2" s="264"/>
      <c r="X2" s="264"/>
      <c r="Y2" s="264"/>
      <c r="Z2" s="264"/>
      <c r="AA2" s="264"/>
      <c r="AB2" s="25"/>
      <c r="AC2" s="26"/>
      <c r="AD2" s="27"/>
      <c r="AE2" s="28"/>
      <c r="AF2" s="103" t="s">
        <v>112</v>
      </c>
      <c r="AG2" s="29"/>
      <c r="AH2" s="29"/>
      <c r="AI2" s="29"/>
      <c r="AJ2" s="29"/>
      <c r="AK2" s="29"/>
      <c r="AL2" s="29"/>
      <c r="AM2" s="29"/>
      <c r="AN2" s="29"/>
      <c r="AO2" s="29"/>
      <c r="BF2" s="261"/>
      <c r="BG2" s="261"/>
      <c r="BH2" s="261"/>
      <c r="BI2" s="261"/>
      <c r="BJ2" s="261"/>
      <c r="BK2" s="261"/>
    </row>
    <row r="3" spans="2:70" ht="21" customHeight="1" x14ac:dyDescent="0.2">
      <c r="D3" s="115"/>
      <c r="E3" s="115"/>
      <c r="F3" s="115"/>
      <c r="G3" s="115"/>
      <c r="H3" s="115"/>
      <c r="I3" s="115"/>
      <c r="J3" s="115"/>
      <c r="K3" s="115"/>
      <c r="L3" s="115"/>
      <c r="M3" s="115"/>
      <c r="N3" s="115"/>
      <c r="O3" s="115"/>
      <c r="P3" s="115"/>
      <c r="Q3" s="115"/>
      <c r="R3" s="158"/>
      <c r="S3" s="115"/>
      <c r="T3" s="115"/>
      <c r="U3" s="115"/>
      <c r="V3" s="115"/>
      <c r="W3" s="115"/>
      <c r="X3" s="115"/>
      <c r="Y3" s="115"/>
      <c r="Z3" s="115"/>
      <c r="AA3" s="115"/>
      <c r="AB3" s="25"/>
      <c r="AC3" s="30"/>
      <c r="AD3" s="30"/>
      <c r="AE3" s="30"/>
      <c r="AF3" s="29"/>
      <c r="AG3" s="29"/>
      <c r="AH3" s="29"/>
      <c r="AI3" s="29"/>
      <c r="AJ3" s="29"/>
      <c r="AK3" s="29"/>
      <c r="AL3" s="29"/>
      <c r="AM3" s="29"/>
      <c r="AN3" s="29"/>
      <c r="AO3" s="29"/>
      <c r="BF3" s="176"/>
      <c r="BG3" s="176"/>
      <c r="BH3" s="176"/>
      <c r="BI3" s="176"/>
      <c r="BJ3" s="176"/>
      <c r="BK3" s="176"/>
    </row>
    <row r="4" spans="2:70" ht="21" customHeight="1" x14ac:dyDescent="0.2">
      <c r="C4" s="8"/>
      <c r="D4" s="115"/>
      <c r="E4" s="115"/>
      <c r="F4" s="115"/>
      <c r="G4" s="115"/>
      <c r="H4" s="115"/>
      <c r="I4" s="115"/>
      <c r="J4" s="115"/>
      <c r="K4" s="55" t="s">
        <v>91</v>
      </c>
      <c r="L4" s="115"/>
      <c r="N4" s="92"/>
      <c r="O4" s="92"/>
      <c r="Q4" s="92"/>
      <c r="R4" s="158"/>
      <c r="S4" s="115"/>
      <c r="T4" s="115"/>
      <c r="U4" s="115"/>
      <c r="V4" s="115"/>
      <c r="W4" s="93"/>
      <c r="X4" s="94"/>
      <c r="Y4" s="115"/>
      <c r="Z4" s="115"/>
      <c r="AA4" s="115"/>
      <c r="AB4" s="25"/>
      <c r="AC4" s="30"/>
      <c r="AD4" s="30"/>
      <c r="AE4" s="30"/>
      <c r="AF4" s="29"/>
      <c r="AG4" s="29"/>
      <c r="AH4" s="29"/>
      <c r="AI4" s="29"/>
      <c r="AJ4" s="29"/>
      <c r="AK4" s="29"/>
      <c r="AL4" s="29"/>
      <c r="AM4" s="29"/>
      <c r="AN4" s="29"/>
      <c r="AO4" s="29"/>
      <c r="AX4" s="24" t="str">
        <f>VLOOKUP($AX$5,$AX$14:$AY$37,2,FALSE)</f>
        <v>関東</v>
      </c>
      <c r="BF4" s="176"/>
      <c r="BG4" s="176"/>
      <c r="BH4" s="176"/>
      <c r="BI4" s="176"/>
      <c r="BJ4" s="176"/>
      <c r="BK4" s="176"/>
    </row>
    <row r="5" spans="2:70" x14ac:dyDescent="0.2">
      <c r="AX5" s="24">
        <v>3</v>
      </c>
    </row>
    <row r="6" spans="2:70" ht="23.25" customHeight="1" x14ac:dyDescent="0.2">
      <c r="D6" s="251" t="s">
        <v>0</v>
      </c>
      <c r="E6" s="33"/>
      <c r="G6" s="122"/>
      <c r="H6" s="122"/>
      <c r="I6" s="104"/>
      <c r="J6" s="104"/>
      <c r="K6" s="104"/>
      <c r="L6" s="104"/>
      <c r="M6" s="104"/>
      <c r="N6" s="104"/>
      <c r="O6" s="104"/>
      <c r="P6" s="104"/>
      <c r="Q6" s="104"/>
      <c r="S6" s="123"/>
      <c r="V6" s="10"/>
      <c r="W6" s="10"/>
      <c r="X6" s="10"/>
      <c r="Z6" s="34" t="s">
        <v>90</v>
      </c>
      <c r="AA6" s="10"/>
      <c r="AB6" s="10"/>
      <c r="AC6" s="10"/>
      <c r="AD6" s="10"/>
      <c r="AE6" s="10"/>
      <c r="AH6" s="10"/>
      <c r="AI6" s="10"/>
      <c r="AJ6" s="10"/>
      <c r="AK6" s="10"/>
      <c r="AL6" s="10"/>
      <c r="AM6" s="10"/>
      <c r="AN6" s="10"/>
      <c r="AO6" s="10"/>
      <c r="AP6" s="10"/>
      <c r="AQ6" s="10"/>
      <c r="AR6" s="10"/>
      <c r="AS6" s="10"/>
      <c r="AT6" s="10"/>
      <c r="AU6" s="10"/>
      <c r="AV6" s="18"/>
      <c r="AW6" s="18"/>
      <c r="AX6" s="143"/>
      <c r="AY6" s="143"/>
      <c r="AZ6" s="143"/>
      <c r="BA6" s="143"/>
      <c r="BB6" s="143"/>
      <c r="BC6" s="143"/>
      <c r="BD6" s="143"/>
      <c r="BE6" s="143"/>
      <c r="BF6" s="143"/>
      <c r="BG6" s="142"/>
      <c r="BH6" s="142"/>
      <c r="BI6" s="142"/>
      <c r="BJ6" s="142"/>
      <c r="BL6" s="174"/>
    </row>
    <row r="7" spans="2:70" ht="18.75" customHeight="1" x14ac:dyDescent="0.2">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48"/>
      <c r="AX7" s="143"/>
      <c r="AY7" s="143"/>
      <c r="AZ7" s="143"/>
      <c r="BA7" s="143"/>
      <c r="BB7" s="143"/>
      <c r="BC7" s="143"/>
      <c r="BD7" s="143"/>
      <c r="BE7" s="143"/>
      <c r="BF7" s="143"/>
    </row>
    <row r="8" spans="2:70" ht="18.75" customHeight="1" x14ac:dyDescent="0.2">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49"/>
      <c r="AX8" s="143"/>
      <c r="AY8" s="143"/>
      <c r="AZ8" s="143"/>
      <c r="BA8" s="143"/>
      <c r="BB8" s="143"/>
      <c r="BC8" s="143"/>
      <c r="BD8" s="143"/>
      <c r="BE8" s="143"/>
      <c r="BF8" s="143"/>
    </row>
    <row r="9" spans="2:70" ht="15.75" customHeight="1" x14ac:dyDescent="0.2">
      <c r="B9" s="265" t="s">
        <v>31</v>
      </c>
      <c r="C9" s="265"/>
      <c r="D9" s="265"/>
      <c r="E9" s="35"/>
      <c r="F9" s="35"/>
      <c r="N9" s="266"/>
      <c r="O9" s="266"/>
      <c r="P9" s="266"/>
      <c r="Q9" s="34"/>
      <c r="R9" s="266" t="s">
        <v>108</v>
      </c>
      <c r="S9" s="266"/>
      <c r="T9" s="266"/>
      <c r="U9" s="8"/>
      <c r="V9" s="8"/>
      <c r="W9" s="8"/>
      <c r="X9" s="8"/>
      <c r="Y9" s="8"/>
      <c r="Z9" s="8"/>
      <c r="AA9" s="8"/>
      <c r="AB9" s="8"/>
      <c r="AC9" s="8"/>
      <c r="AD9" s="8"/>
      <c r="AE9" s="8"/>
      <c r="AF9" s="8"/>
      <c r="AG9" s="8"/>
      <c r="AI9" s="8"/>
      <c r="AJ9" s="8"/>
      <c r="AK9" s="8"/>
    </row>
    <row r="10" spans="2:70" ht="19.5" customHeight="1" x14ac:dyDescent="0.2">
      <c r="B10" s="265"/>
      <c r="C10" s="265"/>
      <c r="D10" s="265"/>
      <c r="E10" s="35"/>
      <c r="F10" s="35"/>
      <c r="G10" s="5" t="s">
        <v>19</v>
      </c>
      <c r="I10" s="108"/>
      <c r="J10" s="260"/>
      <c r="K10" s="260"/>
      <c r="L10" s="263"/>
      <c r="N10" s="260" t="s">
        <v>12</v>
      </c>
      <c r="O10" s="260"/>
      <c r="P10" s="263"/>
      <c r="Q10" s="36"/>
      <c r="R10" s="267">
        <f ca="1">VLOOKUP($AX$10,INDIRECT(AX4),4)</f>
        <v>5320</v>
      </c>
      <c r="S10" s="267"/>
      <c r="T10" s="267"/>
      <c r="U10" s="37" t="s">
        <v>88</v>
      </c>
      <c r="V10" s="13"/>
      <c r="W10" s="13"/>
      <c r="X10" s="13"/>
      <c r="Y10" s="13"/>
      <c r="Z10" s="13"/>
      <c r="AB10" s="13"/>
      <c r="AC10" s="13"/>
      <c r="AD10" s="13"/>
      <c r="AE10" s="13"/>
      <c r="AF10" s="13"/>
      <c r="AG10" s="13"/>
      <c r="AJ10" s="1"/>
      <c r="AK10" s="1"/>
      <c r="AX10" s="24">
        <v>3</v>
      </c>
    </row>
    <row r="11" spans="2:70" ht="19.5" customHeight="1" x14ac:dyDescent="0.2">
      <c r="B11" s="125"/>
      <c r="C11" s="125"/>
      <c r="D11" s="125"/>
      <c r="E11" s="35"/>
      <c r="F11" s="35"/>
      <c r="I11" s="108"/>
      <c r="J11" s="104"/>
      <c r="K11" s="104"/>
      <c r="L11" s="116"/>
      <c r="N11" s="120"/>
      <c r="O11" s="120"/>
      <c r="P11" s="120"/>
      <c r="Q11" s="2"/>
      <c r="R11" s="163"/>
      <c r="S11" s="120"/>
      <c r="T11" s="120"/>
      <c r="U11" s="37"/>
      <c r="V11" s="13"/>
      <c r="W11" s="13"/>
      <c r="X11" s="13"/>
      <c r="Y11" s="13"/>
      <c r="Z11" s="13"/>
      <c r="AB11" s="13"/>
      <c r="AC11" s="13"/>
      <c r="AD11" s="13"/>
      <c r="AE11" s="13"/>
      <c r="AF11" s="13"/>
      <c r="AG11" s="13"/>
      <c r="AJ11" s="1"/>
      <c r="AK11" s="1"/>
    </row>
    <row r="12" spans="2:70" ht="15.75" customHeight="1" thickBot="1" x14ac:dyDescent="0.25">
      <c r="P12" s="260" t="s">
        <v>55</v>
      </c>
      <c r="Q12" s="260"/>
      <c r="R12" s="260"/>
      <c r="S12" s="260"/>
      <c r="T12" s="260"/>
      <c r="U12" s="260"/>
      <c r="W12" s="141"/>
      <c r="AB12" s="260" t="s">
        <v>56</v>
      </c>
      <c r="AC12" s="260"/>
      <c r="AD12" s="260"/>
      <c r="AE12" s="260"/>
      <c r="AF12" s="260"/>
      <c r="AG12" s="260"/>
      <c r="AH12" s="38"/>
      <c r="AJ12" s="257" t="s">
        <v>37</v>
      </c>
      <c r="AK12" s="257"/>
      <c r="AL12" s="257"/>
      <c r="AM12" s="257"/>
      <c r="AN12" s="257"/>
      <c r="AO12" s="257"/>
      <c r="AP12" s="257"/>
      <c r="AQ12" s="257"/>
      <c r="AR12" s="257"/>
      <c r="AS12" s="39"/>
      <c r="AT12" s="40"/>
      <c r="AU12" s="12"/>
      <c r="AV12" s="19"/>
      <c r="AW12" s="19"/>
      <c r="AX12" s="177"/>
      <c r="AY12" s="177"/>
      <c r="AZ12" s="177"/>
    </row>
    <row r="13" spans="2:70" ht="18.75" customHeight="1" thickBot="1" x14ac:dyDescent="0.25">
      <c r="B13" s="9"/>
      <c r="C13" s="9"/>
      <c r="D13" s="9"/>
      <c r="J13" s="38"/>
      <c r="K13" s="38"/>
      <c r="L13" s="38"/>
      <c r="M13" s="21" t="s">
        <v>93</v>
      </c>
      <c r="N13" s="38" t="s">
        <v>27</v>
      </c>
      <c r="O13" s="13"/>
      <c r="P13" s="255">
        <v>3</v>
      </c>
      <c r="Q13" s="256"/>
      <c r="R13" s="170" t="s">
        <v>15</v>
      </c>
      <c r="S13" s="1"/>
      <c r="T13" s="253">
        <v>0</v>
      </c>
      <c r="U13" s="254"/>
      <c r="V13" s="13" t="s">
        <v>29</v>
      </c>
      <c r="W13" s="13"/>
      <c r="X13" s="116"/>
      <c r="Y13" s="116"/>
      <c r="Z13" s="116"/>
      <c r="AA13" s="116"/>
      <c r="AB13" s="263">
        <f>IF(OR($T$13="",$T$13=0,),IF(OR($P$13="",$P$13=0),0,IF($P$13&gt;3,$P$13+2,5)),IF(OR($P$13="",$P$13&lt;3),5,$P$13+2))</f>
        <v>5</v>
      </c>
      <c r="AC13" s="263"/>
      <c r="AD13" s="1" t="s">
        <v>15</v>
      </c>
      <c r="AE13" s="116"/>
      <c r="AF13" s="259">
        <f>IF($P$13&lt;3,0,$T$13)</f>
        <v>0</v>
      </c>
      <c r="AG13" s="259"/>
      <c r="AH13" s="1" t="s">
        <v>21</v>
      </c>
      <c r="AI13" s="116"/>
      <c r="AJ13" s="260" t="s">
        <v>27</v>
      </c>
      <c r="AK13" s="260"/>
      <c r="AL13" s="260"/>
      <c r="AM13" s="255">
        <v>1</v>
      </c>
      <c r="AN13" s="256"/>
      <c r="AO13" s="263" t="s">
        <v>15</v>
      </c>
      <c r="AP13" s="263"/>
      <c r="AQ13" s="253">
        <v>0</v>
      </c>
      <c r="AR13" s="254"/>
      <c r="AS13" s="1" t="s">
        <v>21</v>
      </c>
      <c r="AT13" s="1"/>
      <c r="AU13" s="1"/>
      <c r="AV13" s="20"/>
      <c r="AW13" s="20"/>
      <c r="BC13" s="145"/>
      <c r="BD13" s="145"/>
      <c r="BE13" s="145"/>
      <c r="BF13" s="145"/>
      <c r="BG13" s="145"/>
      <c r="BH13" s="145"/>
      <c r="BI13" s="145"/>
      <c r="BJ13" s="145"/>
    </row>
    <row r="14" spans="2:70" ht="15" customHeight="1" thickBot="1" x14ac:dyDescent="0.25">
      <c r="B14" s="9"/>
      <c r="C14" s="9"/>
      <c r="D14" s="9"/>
      <c r="J14" s="104"/>
      <c r="K14" s="104"/>
      <c r="L14" s="104"/>
      <c r="M14" s="38"/>
      <c r="N14" s="38"/>
      <c r="O14" s="13"/>
      <c r="P14" s="41"/>
      <c r="Q14" s="41"/>
      <c r="R14" s="159"/>
      <c r="S14" s="1"/>
      <c r="T14" s="41"/>
      <c r="U14" s="41"/>
      <c r="V14" s="262" t="str">
        <f>IF(P13&gt;=3,"",IF(P13*60+T13&gt;0,"走行時間は最低３時間のため＋２時間で５時間となります",""))</f>
        <v/>
      </c>
      <c r="W14" s="262"/>
      <c r="X14" s="262"/>
      <c r="Y14" s="262"/>
      <c r="Z14" s="262"/>
      <c r="AA14" s="262"/>
      <c r="AB14" s="262"/>
      <c r="AC14" s="262"/>
      <c r="AD14" s="262"/>
      <c r="AE14" s="262"/>
      <c r="AF14" s="262"/>
      <c r="AG14" s="262"/>
      <c r="AH14" s="262"/>
      <c r="AI14" s="262"/>
      <c r="AJ14" s="262"/>
      <c r="AM14" s="42"/>
      <c r="AN14" s="42"/>
      <c r="AQ14" s="41"/>
      <c r="AR14" s="42"/>
      <c r="AS14" s="117"/>
      <c r="AT14" s="1"/>
      <c r="AU14" s="1"/>
      <c r="AV14" s="20"/>
      <c r="AW14" s="20"/>
      <c r="AX14" s="24">
        <v>1</v>
      </c>
      <c r="AY14" s="24" t="s">
        <v>66</v>
      </c>
      <c r="BC14" s="145"/>
      <c r="BD14" s="145"/>
      <c r="BE14" s="145"/>
      <c r="BF14" s="145"/>
      <c r="BG14" s="145"/>
      <c r="BH14" s="145"/>
      <c r="BI14" s="145"/>
      <c r="BJ14" s="145"/>
    </row>
    <row r="15" spans="2:70" ht="18.75" customHeight="1" thickBot="1" x14ac:dyDescent="0.25">
      <c r="B15" s="9"/>
      <c r="C15" s="9"/>
      <c r="D15" s="9"/>
      <c r="J15" s="38"/>
      <c r="K15" s="38"/>
      <c r="L15" s="38"/>
      <c r="M15" s="21" t="s">
        <v>93</v>
      </c>
      <c r="N15" s="38" t="s">
        <v>26</v>
      </c>
      <c r="O15" s="13"/>
      <c r="P15" s="255">
        <v>3</v>
      </c>
      <c r="Q15" s="256"/>
      <c r="R15" s="170" t="s">
        <v>15</v>
      </c>
      <c r="S15" s="1"/>
      <c r="T15" s="253"/>
      <c r="U15" s="254"/>
      <c r="V15" s="170" t="s">
        <v>29</v>
      </c>
      <c r="W15" s="13"/>
      <c r="X15" s="116"/>
      <c r="Y15" s="116"/>
      <c r="Z15" s="116"/>
      <c r="AA15" s="116"/>
      <c r="AB15" s="263">
        <f>IF(OR($T$15="",$T$15=0,),IF(OR($P$15="",$P$15=0),0,IF($P$15&gt;3,$P$15+2,5)),IF(OR($P$15="",$P$15&lt;3),5,$P$15+2))</f>
        <v>5</v>
      </c>
      <c r="AC15" s="263"/>
      <c r="AD15" s="1" t="s">
        <v>15</v>
      </c>
      <c r="AE15" s="116"/>
      <c r="AF15" s="259">
        <f>IF($P$15&lt;3,0,$T$15)</f>
        <v>0</v>
      </c>
      <c r="AG15" s="259"/>
      <c r="AH15" s="1" t="s">
        <v>21</v>
      </c>
      <c r="AI15" s="116"/>
      <c r="AJ15" s="260" t="s">
        <v>26</v>
      </c>
      <c r="AK15" s="260"/>
      <c r="AL15" s="260"/>
      <c r="AM15" s="255"/>
      <c r="AN15" s="256"/>
      <c r="AO15" s="263" t="s">
        <v>15</v>
      </c>
      <c r="AP15" s="263"/>
      <c r="AQ15" s="253">
        <v>0</v>
      </c>
      <c r="AR15" s="254"/>
      <c r="AS15" s="1" t="s">
        <v>21</v>
      </c>
      <c r="AT15" s="1"/>
      <c r="AU15" s="1"/>
      <c r="AV15" s="20"/>
      <c r="AW15" s="20"/>
      <c r="AX15" s="24">
        <v>2</v>
      </c>
      <c r="AY15" s="24" t="s">
        <v>67</v>
      </c>
      <c r="BC15" s="145"/>
      <c r="BD15" s="145"/>
      <c r="BE15" s="145"/>
      <c r="BF15" s="145"/>
      <c r="BG15" s="145"/>
      <c r="BH15" s="145"/>
      <c r="BI15" s="145"/>
      <c r="BJ15" s="145"/>
      <c r="BO15" s="174"/>
      <c r="BQ15" s="11"/>
      <c r="BR15" s="178"/>
    </row>
    <row r="16" spans="2:70" ht="15" customHeight="1" thickBot="1" x14ac:dyDescent="0.25">
      <c r="B16" s="9"/>
      <c r="C16" s="9"/>
      <c r="D16" s="9"/>
      <c r="M16" s="38"/>
      <c r="N16" s="38"/>
      <c r="O16" s="13"/>
      <c r="P16" s="41"/>
      <c r="Q16" s="41"/>
      <c r="R16" s="159"/>
      <c r="S16" s="1"/>
      <c r="T16" s="41"/>
      <c r="U16" s="41"/>
      <c r="V16" s="247" t="str">
        <f>IF(P15&gt;=3,"",IF(P15*60+T15&gt;0,"走行時間は最低３時間のため＋２時間で５時間となります",""))</f>
        <v/>
      </c>
      <c r="W16" s="247"/>
      <c r="X16" s="247"/>
      <c r="Y16" s="247"/>
      <c r="Z16" s="247"/>
      <c r="AA16" s="247"/>
      <c r="AB16" s="247"/>
      <c r="AC16" s="247"/>
      <c r="AD16" s="247"/>
      <c r="AE16" s="247"/>
      <c r="AF16" s="247"/>
      <c r="AG16" s="247"/>
      <c r="AH16" s="247"/>
      <c r="AI16" s="247"/>
      <c r="AJ16" s="247"/>
      <c r="AM16" s="42"/>
      <c r="AN16" s="42"/>
      <c r="AQ16" s="41"/>
      <c r="AR16" s="42"/>
      <c r="AS16" s="117"/>
      <c r="AT16" s="1"/>
      <c r="AU16" s="1"/>
      <c r="AV16" s="20"/>
      <c r="AW16" s="20"/>
      <c r="AX16" s="24">
        <v>3</v>
      </c>
      <c r="AY16" s="24" t="s">
        <v>68</v>
      </c>
      <c r="BC16" s="145"/>
      <c r="BD16" s="145"/>
      <c r="BE16" s="145"/>
      <c r="BF16" s="145"/>
      <c r="BG16" s="145"/>
      <c r="BH16" s="145"/>
      <c r="BI16" s="145"/>
      <c r="BJ16" s="145"/>
      <c r="BO16" s="174"/>
      <c r="BQ16" s="11"/>
      <c r="BR16" s="178"/>
    </row>
    <row r="17" spans="2:70" ht="18.75" customHeight="1" thickBot="1" x14ac:dyDescent="0.25">
      <c r="B17" s="9"/>
      <c r="C17" s="9"/>
      <c r="D17" s="9"/>
      <c r="J17" s="38"/>
      <c r="K17" s="38"/>
      <c r="L17" s="38"/>
      <c r="M17" s="21" t="s">
        <v>93</v>
      </c>
      <c r="N17" s="38" t="s">
        <v>28</v>
      </c>
      <c r="O17" s="13"/>
      <c r="P17" s="255">
        <v>3</v>
      </c>
      <c r="Q17" s="256"/>
      <c r="R17" s="170" t="s">
        <v>15</v>
      </c>
      <c r="S17" s="1"/>
      <c r="T17" s="253"/>
      <c r="U17" s="254"/>
      <c r="V17" s="170" t="s">
        <v>29</v>
      </c>
      <c r="W17" s="13"/>
      <c r="X17" s="116"/>
      <c r="Y17" s="116"/>
      <c r="Z17" s="116"/>
      <c r="AA17" s="116"/>
      <c r="AB17" s="263">
        <f>IF(OR($T$17="",$T$17=0,),IF(OR($P$17="",$P$17=0),0,IF($P$17&gt;3,$P$17+2,5)),IF(OR($P$17="",$P$17&lt;3),5,$P$17+2))</f>
        <v>5</v>
      </c>
      <c r="AC17" s="263"/>
      <c r="AD17" s="1" t="s">
        <v>15</v>
      </c>
      <c r="AE17" s="116"/>
      <c r="AF17" s="259">
        <f>IF($P$17&lt;3,0,$T$17)</f>
        <v>0</v>
      </c>
      <c r="AG17" s="259"/>
      <c r="AH17" s="1" t="s">
        <v>21</v>
      </c>
      <c r="AI17" s="116"/>
      <c r="AJ17" s="260" t="s">
        <v>28</v>
      </c>
      <c r="AK17" s="260"/>
      <c r="AL17" s="260"/>
      <c r="AM17" s="255"/>
      <c r="AN17" s="256"/>
      <c r="AO17" s="263" t="s">
        <v>15</v>
      </c>
      <c r="AP17" s="263"/>
      <c r="AQ17" s="253"/>
      <c r="AR17" s="254"/>
      <c r="AS17" s="1" t="s">
        <v>21</v>
      </c>
      <c r="AT17" s="1"/>
      <c r="AU17" s="1"/>
      <c r="AV17" s="20"/>
      <c r="AW17" s="20"/>
      <c r="AX17" s="24">
        <v>4</v>
      </c>
      <c r="AY17" s="24" t="s">
        <v>69</v>
      </c>
      <c r="BC17" s="145"/>
      <c r="BD17" s="145"/>
      <c r="BE17" s="145"/>
      <c r="BF17" s="145"/>
      <c r="BG17" s="145"/>
      <c r="BH17" s="145"/>
      <c r="BI17" s="145"/>
      <c r="BJ17" s="145"/>
      <c r="BL17" s="86"/>
      <c r="BO17" s="174"/>
      <c r="BQ17" s="11"/>
      <c r="BR17" s="178"/>
    </row>
    <row r="18" spans="2:70" ht="15" customHeight="1" thickBot="1" x14ac:dyDescent="0.25">
      <c r="B18" s="9"/>
      <c r="C18" s="9"/>
      <c r="D18" s="9"/>
      <c r="M18" s="38"/>
      <c r="N18" s="38"/>
      <c r="O18" s="13"/>
      <c r="P18" s="116"/>
      <c r="Q18" s="116"/>
      <c r="R18" s="159"/>
      <c r="S18" s="1"/>
      <c r="T18" s="116"/>
      <c r="U18" s="116"/>
      <c r="V18" s="262" t="str">
        <f>IF(P17&gt;=3,"",IF(P17*60+T17&gt;0,"※走行時間は最低３時間のため＋２時間で５時間となります",""))</f>
        <v/>
      </c>
      <c r="W18" s="262"/>
      <c r="X18" s="262"/>
      <c r="Y18" s="262"/>
      <c r="Z18" s="262"/>
      <c r="AA18" s="262"/>
      <c r="AB18" s="262"/>
      <c r="AC18" s="262"/>
      <c r="AD18" s="262"/>
      <c r="AE18" s="262"/>
      <c r="AF18" s="262"/>
      <c r="AG18" s="262"/>
      <c r="AH18" s="262"/>
      <c r="AI18" s="262"/>
      <c r="AJ18" s="262"/>
      <c r="AK18" s="116"/>
      <c r="AL18" s="116"/>
      <c r="AM18" s="116"/>
      <c r="AN18" s="116"/>
      <c r="AO18" s="116"/>
      <c r="AP18" s="116"/>
      <c r="AQ18" s="116"/>
      <c r="AR18" s="116"/>
      <c r="AS18" s="116"/>
      <c r="AT18" s="1"/>
      <c r="AU18" s="1"/>
      <c r="AV18" s="20"/>
      <c r="AW18" s="20"/>
      <c r="AX18" s="24">
        <v>5</v>
      </c>
      <c r="AY18" s="24" t="s">
        <v>70</v>
      </c>
      <c r="BC18" s="145"/>
      <c r="BD18" s="145"/>
      <c r="BE18" s="145"/>
      <c r="BF18" s="145"/>
      <c r="BG18" s="145"/>
      <c r="BH18" s="145"/>
      <c r="BI18" s="145"/>
      <c r="BJ18" s="145"/>
      <c r="BL18" s="86"/>
      <c r="BO18" s="174"/>
      <c r="BQ18" s="11"/>
      <c r="BR18" s="178"/>
    </row>
    <row r="19" spans="2:70" ht="18.75" customHeight="1" thickBot="1" x14ac:dyDescent="0.25">
      <c r="B19" s="9"/>
      <c r="C19" s="9"/>
      <c r="D19" s="9"/>
      <c r="J19" s="38"/>
      <c r="K19" s="38"/>
      <c r="L19" s="38"/>
      <c r="M19" s="21" t="s">
        <v>93</v>
      </c>
      <c r="N19" s="38" t="s">
        <v>113</v>
      </c>
      <c r="O19" s="13"/>
      <c r="P19" s="255">
        <v>3</v>
      </c>
      <c r="Q19" s="256"/>
      <c r="R19" s="170" t="s">
        <v>15</v>
      </c>
      <c r="S19" s="1"/>
      <c r="T19" s="253"/>
      <c r="U19" s="254"/>
      <c r="V19" s="170" t="s">
        <v>29</v>
      </c>
      <c r="W19" s="13"/>
      <c r="X19" s="188"/>
      <c r="Y19" s="188"/>
      <c r="Z19" s="188"/>
      <c r="AA19" s="188"/>
      <c r="AB19" s="263">
        <f>IF(OR($T$19="",$T$19=0,),IF(OR($P$19="",$P$19=0),0,IF($P$19&gt;3,$P$19+2,5)),IF(OR($P$19="",$P$19&lt;3),5,$P$19+2))</f>
        <v>5</v>
      </c>
      <c r="AC19" s="263"/>
      <c r="AD19" s="1" t="s">
        <v>15</v>
      </c>
      <c r="AE19" s="188"/>
      <c r="AF19" s="259">
        <f>IF($P$19&lt;3,0,$T$19)</f>
        <v>0</v>
      </c>
      <c r="AG19" s="259"/>
      <c r="AH19" s="1" t="s">
        <v>21</v>
      </c>
      <c r="AI19" s="188"/>
      <c r="AJ19" s="260" t="s">
        <v>113</v>
      </c>
      <c r="AK19" s="260"/>
      <c r="AL19" s="260"/>
      <c r="AM19" s="255"/>
      <c r="AN19" s="256"/>
      <c r="AO19" s="263" t="s">
        <v>15</v>
      </c>
      <c r="AP19" s="263"/>
      <c r="AQ19" s="253"/>
      <c r="AR19" s="254"/>
      <c r="AS19" s="1" t="s">
        <v>21</v>
      </c>
      <c r="AT19" s="1"/>
      <c r="AU19" s="1"/>
      <c r="AV19" s="20"/>
      <c r="AW19" s="20"/>
      <c r="AX19" s="24">
        <v>6</v>
      </c>
      <c r="AY19" s="24" t="s">
        <v>75</v>
      </c>
      <c r="BC19" s="145"/>
      <c r="BD19" s="145"/>
      <c r="BE19" s="145"/>
      <c r="BF19" s="145"/>
      <c r="BG19" s="145"/>
      <c r="BH19" s="145"/>
      <c r="BI19" s="145"/>
      <c r="BJ19" s="145"/>
      <c r="BL19" s="86"/>
      <c r="BO19" s="189"/>
      <c r="BQ19" s="11"/>
      <c r="BR19" s="178"/>
    </row>
    <row r="20" spans="2:70" ht="15" customHeight="1" thickBot="1" x14ac:dyDescent="0.25">
      <c r="B20" s="9"/>
      <c r="C20" s="9"/>
      <c r="D20" s="9"/>
      <c r="M20" s="38"/>
      <c r="N20" s="38"/>
      <c r="O20" s="13"/>
      <c r="P20" s="188"/>
      <c r="Q20" s="188"/>
      <c r="R20" s="188"/>
      <c r="S20" s="1"/>
      <c r="T20" s="188"/>
      <c r="U20" s="188"/>
      <c r="V20" s="262" t="str">
        <f>IF(P19&gt;=3,"",IF(P19*60+T19&gt;0,"※走行時間は最低３時間のため＋２時間で５時間となります",""))</f>
        <v/>
      </c>
      <c r="W20" s="262"/>
      <c r="X20" s="262"/>
      <c r="Y20" s="262"/>
      <c r="Z20" s="262"/>
      <c r="AA20" s="262"/>
      <c r="AB20" s="262"/>
      <c r="AC20" s="262"/>
      <c r="AD20" s="262"/>
      <c r="AE20" s="262"/>
      <c r="AF20" s="262"/>
      <c r="AG20" s="262"/>
      <c r="AH20" s="262"/>
      <c r="AI20" s="262"/>
      <c r="AJ20" s="262"/>
      <c r="AK20" s="188"/>
      <c r="AL20" s="188"/>
      <c r="AM20" s="188"/>
      <c r="AN20" s="188"/>
      <c r="AO20" s="188"/>
      <c r="AP20" s="188"/>
      <c r="AQ20" s="188"/>
      <c r="AR20" s="188"/>
      <c r="AS20" s="188"/>
      <c r="AT20" s="1"/>
      <c r="AU20" s="1"/>
      <c r="AV20" s="20"/>
      <c r="AW20" s="20"/>
      <c r="AX20" s="24">
        <v>7</v>
      </c>
      <c r="AY20" s="24" t="s">
        <v>71</v>
      </c>
      <c r="BC20" s="145"/>
      <c r="BD20" s="145"/>
      <c r="BE20" s="145"/>
      <c r="BF20" s="145"/>
      <c r="BG20" s="145"/>
      <c r="BH20" s="145"/>
      <c r="BI20" s="145"/>
      <c r="BJ20" s="145"/>
      <c r="BL20" s="86"/>
      <c r="BO20" s="189"/>
      <c r="BQ20" s="11"/>
      <c r="BR20" s="178"/>
    </row>
    <row r="21" spans="2:70" ht="18.75" customHeight="1" thickBot="1" x14ac:dyDescent="0.25">
      <c r="B21" s="9"/>
      <c r="C21" s="9"/>
      <c r="D21" s="9"/>
      <c r="J21" s="38"/>
      <c r="K21" s="38"/>
      <c r="L21" s="38"/>
      <c r="M21" s="21" t="s">
        <v>93</v>
      </c>
      <c r="N21" s="38" t="s">
        <v>114</v>
      </c>
      <c r="O21" s="13"/>
      <c r="P21" s="255">
        <v>3</v>
      </c>
      <c r="Q21" s="256"/>
      <c r="R21" s="170" t="s">
        <v>15</v>
      </c>
      <c r="S21" s="1"/>
      <c r="T21" s="253"/>
      <c r="U21" s="254"/>
      <c r="V21" s="170" t="s">
        <v>29</v>
      </c>
      <c r="W21" s="13"/>
      <c r="X21" s="188"/>
      <c r="Y21" s="188"/>
      <c r="Z21" s="188"/>
      <c r="AA21" s="188"/>
      <c r="AB21" s="263">
        <f>IF(OR($T$21="",$T$21=0,),IF(OR($P$21="",$P$21=0),0,IF($P$21&gt;3,$P$21+2,5)),IF(OR($P$21="",$P$21&lt;3),5,$P$21+2))</f>
        <v>5</v>
      </c>
      <c r="AC21" s="263"/>
      <c r="AD21" s="1" t="s">
        <v>15</v>
      </c>
      <c r="AE21" s="188"/>
      <c r="AF21" s="259">
        <f>IF($P$21&lt;3,0,$T$21)</f>
        <v>0</v>
      </c>
      <c r="AG21" s="259"/>
      <c r="AH21" s="1" t="s">
        <v>21</v>
      </c>
      <c r="AI21" s="188"/>
      <c r="AJ21" s="260" t="s">
        <v>114</v>
      </c>
      <c r="AK21" s="260"/>
      <c r="AL21" s="260"/>
      <c r="AM21" s="255"/>
      <c r="AN21" s="256"/>
      <c r="AO21" s="263" t="s">
        <v>15</v>
      </c>
      <c r="AP21" s="263"/>
      <c r="AQ21" s="253"/>
      <c r="AR21" s="254"/>
      <c r="AS21" s="1" t="s">
        <v>21</v>
      </c>
      <c r="AT21" s="1"/>
      <c r="AU21" s="1"/>
      <c r="AV21" s="20"/>
      <c r="AW21" s="20"/>
      <c r="AX21" s="24">
        <v>8</v>
      </c>
      <c r="AY21" s="24" t="s">
        <v>72</v>
      </c>
      <c r="BC21" s="145"/>
      <c r="BD21" s="145"/>
      <c r="BE21" s="145"/>
      <c r="BF21" s="145"/>
      <c r="BG21" s="145"/>
      <c r="BH21" s="145"/>
      <c r="BI21" s="145"/>
      <c r="BJ21" s="145"/>
      <c r="BL21" s="86"/>
      <c r="BO21" s="189"/>
      <c r="BQ21" s="11"/>
      <c r="BR21" s="178"/>
    </row>
    <row r="22" spans="2:70" ht="15" customHeight="1" thickBot="1" x14ac:dyDescent="0.25">
      <c r="B22" s="9"/>
      <c r="C22" s="9"/>
      <c r="D22" s="9"/>
      <c r="M22" s="38"/>
      <c r="N22" s="38"/>
      <c r="O22" s="13"/>
      <c r="P22" s="188"/>
      <c r="Q22" s="188"/>
      <c r="R22" s="188"/>
      <c r="S22" s="1"/>
      <c r="T22" s="188"/>
      <c r="U22" s="188"/>
      <c r="V22" s="262" t="str">
        <f>IF(P21&gt;=3,"",IF(P21*60+T21&gt;0,"※走行時間は最低３時間のため＋２時間で５時間となります",""))</f>
        <v/>
      </c>
      <c r="W22" s="262"/>
      <c r="X22" s="262"/>
      <c r="Y22" s="262"/>
      <c r="Z22" s="262"/>
      <c r="AA22" s="262"/>
      <c r="AB22" s="262"/>
      <c r="AC22" s="262"/>
      <c r="AD22" s="262"/>
      <c r="AE22" s="262"/>
      <c r="AF22" s="262"/>
      <c r="AG22" s="262"/>
      <c r="AH22" s="262"/>
      <c r="AI22" s="262"/>
      <c r="AJ22" s="262"/>
      <c r="AK22" s="188"/>
      <c r="AL22" s="188"/>
      <c r="AM22" s="188"/>
      <c r="AN22" s="188"/>
      <c r="AO22" s="188"/>
      <c r="AP22" s="188"/>
      <c r="AQ22" s="188"/>
      <c r="AR22" s="188"/>
      <c r="AS22" s="188"/>
      <c r="AT22" s="1"/>
      <c r="AU22" s="1"/>
      <c r="AV22" s="20"/>
      <c r="AW22" s="20"/>
      <c r="AX22" s="24">
        <v>9</v>
      </c>
      <c r="AY22" s="24" t="s">
        <v>73</v>
      </c>
      <c r="BC22" s="145"/>
      <c r="BD22" s="145"/>
      <c r="BE22" s="145"/>
      <c r="BF22" s="145"/>
      <c r="BG22" s="145"/>
      <c r="BH22" s="145"/>
      <c r="BI22" s="145"/>
      <c r="BJ22" s="145"/>
      <c r="BL22" s="86"/>
      <c r="BO22" s="189"/>
      <c r="BQ22" s="11"/>
      <c r="BR22" s="178"/>
    </row>
    <row r="23" spans="2:70" ht="18.75" customHeight="1" thickBot="1" x14ac:dyDescent="0.25">
      <c r="B23" s="9"/>
      <c r="C23" s="9"/>
      <c r="D23" s="9"/>
      <c r="J23" s="38"/>
      <c r="K23" s="38"/>
      <c r="L23" s="38"/>
      <c r="M23" s="21" t="s">
        <v>93</v>
      </c>
      <c r="N23" s="38" t="s">
        <v>115</v>
      </c>
      <c r="O23" s="13"/>
      <c r="P23" s="255">
        <v>3</v>
      </c>
      <c r="Q23" s="256"/>
      <c r="R23" s="170" t="s">
        <v>15</v>
      </c>
      <c r="S23" s="1"/>
      <c r="T23" s="253"/>
      <c r="U23" s="254"/>
      <c r="V23" s="170" t="s">
        <v>29</v>
      </c>
      <c r="W23" s="13"/>
      <c r="X23" s="188"/>
      <c r="Y23" s="188"/>
      <c r="Z23" s="188"/>
      <c r="AA23" s="188"/>
      <c r="AB23" s="263">
        <f>IF(OR($T$23="",$T$23=0,),IF(OR($P$23="",$P$23=0),0,IF($P$23&gt;3,$P$23+2,5)),IF(OR($P$23="",$P$23&lt;3),5,$P$23+2))</f>
        <v>5</v>
      </c>
      <c r="AC23" s="263"/>
      <c r="AD23" s="1" t="s">
        <v>15</v>
      </c>
      <c r="AE23" s="188"/>
      <c r="AF23" s="259">
        <f>IF($P$23&lt;3,0,$T$23)</f>
        <v>0</v>
      </c>
      <c r="AG23" s="259"/>
      <c r="AH23" s="1" t="s">
        <v>21</v>
      </c>
      <c r="AI23" s="188"/>
      <c r="AJ23" s="260" t="s">
        <v>115</v>
      </c>
      <c r="AK23" s="260"/>
      <c r="AL23" s="260"/>
      <c r="AM23" s="255"/>
      <c r="AN23" s="256"/>
      <c r="AO23" s="263" t="s">
        <v>15</v>
      </c>
      <c r="AP23" s="263"/>
      <c r="AQ23" s="253"/>
      <c r="AR23" s="254"/>
      <c r="AS23" s="1" t="s">
        <v>21</v>
      </c>
      <c r="AT23" s="1"/>
      <c r="AU23" s="1"/>
      <c r="AV23" s="20"/>
      <c r="AW23" s="20"/>
      <c r="AX23" s="24">
        <v>10</v>
      </c>
      <c r="AY23" s="24" t="s">
        <v>74</v>
      </c>
      <c r="BC23" s="145"/>
      <c r="BD23" s="145"/>
      <c r="BE23" s="145"/>
      <c r="BF23" s="145"/>
      <c r="BG23" s="145"/>
      <c r="BH23" s="145"/>
      <c r="BI23" s="145"/>
      <c r="BJ23" s="145"/>
      <c r="BL23" s="86"/>
      <c r="BO23" s="189"/>
      <c r="BQ23" s="11"/>
      <c r="BR23" s="178"/>
    </row>
    <row r="24" spans="2:70" ht="15" customHeight="1" thickBot="1" x14ac:dyDescent="0.25">
      <c r="B24" s="9"/>
      <c r="C24" s="9"/>
      <c r="D24" s="9"/>
      <c r="M24" s="38"/>
      <c r="N24" s="38"/>
      <c r="O24" s="13"/>
      <c r="P24" s="188"/>
      <c r="Q24" s="188"/>
      <c r="R24" s="188"/>
      <c r="S24" s="1"/>
      <c r="T24" s="188"/>
      <c r="U24" s="188"/>
      <c r="V24" s="262" t="str">
        <f>IF(P23&gt;=3,"",IF(P23*60+T23&gt;0,"※走行時間は最低３時間のため＋２時間で５時間となります",""))</f>
        <v/>
      </c>
      <c r="W24" s="262"/>
      <c r="X24" s="262"/>
      <c r="Y24" s="262"/>
      <c r="Z24" s="262"/>
      <c r="AA24" s="262"/>
      <c r="AB24" s="262"/>
      <c r="AC24" s="262"/>
      <c r="AD24" s="262"/>
      <c r="AE24" s="262"/>
      <c r="AF24" s="262"/>
      <c r="AG24" s="262"/>
      <c r="AH24" s="262"/>
      <c r="AI24" s="262"/>
      <c r="AJ24" s="262"/>
      <c r="AK24" s="188"/>
      <c r="AL24" s="188"/>
      <c r="AM24" s="188"/>
      <c r="AN24" s="188"/>
      <c r="AO24" s="188"/>
      <c r="AP24" s="188"/>
      <c r="AQ24" s="188"/>
      <c r="AR24" s="188"/>
      <c r="AS24" s="188"/>
      <c r="AT24" s="1"/>
      <c r="AU24" s="1"/>
      <c r="AV24" s="20"/>
      <c r="AW24" s="20"/>
      <c r="BC24" s="145"/>
      <c r="BD24" s="145"/>
      <c r="BE24" s="145"/>
      <c r="BF24" s="145"/>
      <c r="BG24" s="145"/>
      <c r="BH24" s="145"/>
      <c r="BI24" s="145"/>
      <c r="BJ24" s="145"/>
      <c r="BL24" s="86"/>
      <c r="BO24" s="189"/>
      <c r="BQ24" s="11"/>
      <c r="BR24" s="178"/>
    </row>
    <row r="25" spans="2:70" ht="18.75" customHeight="1" thickBot="1" x14ac:dyDescent="0.25">
      <c r="B25" s="9"/>
      <c r="C25" s="9"/>
      <c r="D25" s="9"/>
      <c r="J25" s="38"/>
      <c r="K25" s="38"/>
      <c r="L25" s="38"/>
      <c r="M25" s="21" t="s">
        <v>93</v>
      </c>
      <c r="N25" s="38" t="s">
        <v>116</v>
      </c>
      <c r="O25" s="13"/>
      <c r="P25" s="255">
        <v>3</v>
      </c>
      <c r="Q25" s="256"/>
      <c r="R25" s="170" t="s">
        <v>15</v>
      </c>
      <c r="S25" s="1"/>
      <c r="T25" s="253"/>
      <c r="U25" s="254"/>
      <c r="V25" s="170" t="s">
        <v>29</v>
      </c>
      <c r="W25" s="13"/>
      <c r="X25" s="188"/>
      <c r="Y25" s="188"/>
      <c r="Z25" s="188"/>
      <c r="AA25" s="188"/>
      <c r="AB25" s="263">
        <f>IF(OR($T$25="",$T$25=0,),IF(OR($P$25="",$P$25=0),0,IF($P$25&gt;3,$P$25+2,5)),IF(OR($P$25="",$P$25&lt;3),5,$P$25+2))</f>
        <v>5</v>
      </c>
      <c r="AC25" s="263"/>
      <c r="AD25" s="1" t="s">
        <v>15</v>
      </c>
      <c r="AE25" s="188"/>
      <c r="AF25" s="259">
        <f>IF($P$25&lt;3,0,$T$25)</f>
        <v>0</v>
      </c>
      <c r="AG25" s="259"/>
      <c r="AH25" s="1" t="s">
        <v>21</v>
      </c>
      <c r="AI25" s="188"/>
      <c r="AJ25" s="260" t="s">
        <v>116</v>
      </c>
      <c r="AK25" s="260"/>
      <c r="AL25" s="260"/>
      <c r="AM25" s="255"/>
      <c r="AN25" s="256"/>
      <c r="AO25" s="263" t="s">
        <v>15</v>
      </c>
      <c r="AP25" s="263"/>
      <c r="AQ25" s="253"/>
      <c r="AR25" s="254"/>
      <c r="AS25" s="1" t="s">
        <v>21</v>
      </c>
      <c r="AT25" s="1"/>
      <c r="AU25" s="1"/>
      <c r="AV25" s="20"/>
      <c r="AW25" s="20"/>
      <c r="BC25" s="145"/>
      <c r="BD25" s="145"/>
      <c r="BE25" s="145"/>
      <c r="BF25" s="145"/>
      <c r="BG25" s="145"/>
      <c r="BH25" s="145"/>
      <c r="BI25" s="145"/>
      <c r="BJ25" s="145"/>
      <c r="BL25" s="86"/>
      <c r="BO25" s="189"/>
      <c r="BQ25" s="11"/>
      <c r="BR25" s="178"/>
    </row>
    <row r="26" spans="2:70" ht="15" customHeight="1" thickBot="1" x14ac:dyDescent="0.25">
      <c r="B26" s="9"/>
      <c r="C26" s="9"/>
      <c r="D26" s="9"/>
      <c r="M26" s="38"/>
      <c r="N26" s="38"/>
      <c r="O26" s="13"/>
      <c r="P26" s="188"/>
      <c r="Q26" s="188"/>
      <c r="R26" s="188"/>
      <c r="S26" s="1"/>
      <c r="T26" s="188"/>
      <c r="U26" s="188"/>
      <c r="V26" s="262" t="str">
        <f>IF(P25&gt;=3,"",IF(P25*60+T25&gt;0,"※走行時間は最低３時間のため＋２時間で５時間となります",""))</f>
        <v/>
      </c>
      <c r="W26" s="262"/>
      <c r="X26" s="262"/>
      <c r="Y26" s="262"/>
      <c r="Z26" s="262"/>
      <c r="AA26" s="262"/>
      <c r="AB26" s="262"/>
      <c r="AC26" s="262"/>
      <c r="AD26" s="262"/>
      <c r="AE26" s="262"/>
      <c r="AF26" s="262"/>
      <c r="AG26" s="262"/>
      <c r="AH26" s="262"/>
      <c r="AI26" s="262"/>
      <c r="AJ26" s="262"/>
      <c r="AK26" s="188"/>
      <c r="AL26" s="188"/>
      <c r="AM26" s="188"/>
      <c r="AN26" s="188"/>
      <c r="AO26" s="188"/>
      <c r="AP26" s="188"/>
      <c r="AQ26" s="188"/>
      <c r="AR26" s="188"/>
      <c r="AS26" s="188"/>
      <c r="AT26" s="1"/>
      <c r="AU26" s="1"/>
      <c r="AV26" s="20"/>
      <c r="AW26" s="20"/>
      <c r="BC26" s="145"/>
      <c r="BD26" s="145"/>
      <c r="BE26" s="145"/>
      <c r="BF26" s="145"/>
      <c r="BG26" s="145"/>
      <c r="BH26" s="145"/>
      <c r="BI26" s="145"/>
      <c r="BJ26" s="145"/>
      <c r="BL26" s="86"/>
      <c r="BO26" s="189"/>
      <c r="BQ26" s="11"/>
      <c r="BR26" s="178"/>
    </row>
    <row r="27" spans="2:70" ht="18.75" customHeight="1" thickBot="1" x14ac:dyDescent="0.25">
      <c r="B27" s="9"/>
      <c r="C27" s="9"/>
      <c r="D27" s="9"/>
      <c r="J27" s="38"/>
      <c r="K27" s="38"/>
      <c r="L27" s="38"/>
      <c r="M27" s="21" t="s">
        <v>93</v>
      </c>
      <c r="N27" s="38" t="s">
        <v>117</v>
      </c>
      <c r="O27" s="13"/>
      <c r="P27" s="255">
        <v>3</v>
      </c>
      <c r="Q27" s="256"/>
      <c r="R27" s="170" t="s">
        <v>15</v>
      </c>
      <c r="S27" s="1"/>
      <c r="T27" s="253"/>
      <c r="U27" s="254"/>
      <c r="V27" s="170" t="s">
        <v>29</v>
      </c>
      <c r="W27" s="13"/>
      <c r="X27" s="188"/>
      <c r="Y27" s="188"/>
      <c r="Z27" s="188"/>
      <c r="AA27" s="188"/>
      <c r="AB27" s="263">
        <f>IF(OR($T$27="",$T$27=0,),IF(OR($P$27="",$P$27=0),0,IF($P$27&gt;3,$P$27+2,5)),IF(OR($P$27="",$P$27&lt;3),5,$P$27+2))</f>
        <v>5</v>
      </c>
      <c r="AC27" s="263"/>
      <c r="AD27" s="1" t="s">
        <v>15</v>
      </c>
      <c r="AE27" s="188"/>
      <c r="AF27" s="259">
        <f>IF($P$27&lt;3,0,$T$27)</f>
        <v>0</v>
      </c>
      <c r="AG27" s="259"/>
      <c r="AH27" s="1" t="s">
        <v>21</v>
      </c>
      <c r="AI27" s="188"/>
      <c r="AJ27" s="260" t="s">
        <v>117</v>
      </c>
      <c r="AK27" s="260"/>
      <c r="AL27" s="260"/>
      <c r="AM27" s="255"/>
      <c r="AN27" s="256"/>
      <c r="AO27" s="263" t="s">
        <v>15</v>
      </c>
      <c r="AP27" s="263"/>
      <c r="AQ27" s="253"/>
      <c r="AR27" s="254"/>
      <c r="AS27" s="1" t="s">
        <v>21</v>
      </c>
      <c r="AT27" s="1"/>
      <c r="AU27" s="1"/>
      <c r="AV27" s="20"/>
      <c r="AW27" s="20"/>
      <c r="BC27" s="145"/>
      <c r="BD27" s="145"/>
      <c r="BE27" s="145"/>
      <c r="BF27" s="145"/>
      <c r="BG27" s="145"/>
      <c r="BH27" s="145"/>
      <c r="BI27" s="145"/>
      <c r="BJ27" s="145"/>
      <c r="BL27" s="86"/>
      <c r="BO27" s="189"/>
      <c r="BQ27" s="11"/>
      <c r="BR27" s="178"/>
    </row>
    <row r="28" spans="2:70" ht="15" customHeight="1" thickBot="1" x14ac:dyDescent="0.25">
      <c r="B28" s="9"/>
      <c r="C28" s="9"/>
      <c r="D28" s="9"/>
      <c r="M28" s="38"/>
      <c r="N28" s="38"/>
      <c r="O28" s="13"/>
      <c r="P28" s="188"/>
      <c r="Q28" s="188"/>
      <c r="R28" s="188"/>
      <c r="S28" s="1"/>
      <c r="T28" s="188"/>
      <c r="U28" s="188"/>
      <c r="V28" s="262" t="str">
        <f>IF(P27&gt;=3,"",IF(P27*60+T27&gt;0,"※走行時間は最低３時間のため＋２時間で５時間となります",""))</f>
        <v/>
      </c>
      <c r="W28" s="262"/>
      <c r="X28" s="262"/>
      <c r="Y28" s="262"/>
      <c r="Z28" s="262"/>
      <c r="AA28" s="262"/>
      <c r="AB28" s="262"/>
      <c r="AC28" s="262"/>
      <c r="AD28" s="262"/>
      <c r="AE28" s="262"/>
      <c r="AF28" s="262"/>
      <c r="AG28" s="262"/>
      <c r="AH28" s="262"/>
      <c r="AI28" s="262"/>
      <c r="AJ28" s="262"/>
      <c r="AK28" s="188"/>
      <c r="AL28" s="188"/>
      <c r="AM28" s="188"/>
      <c r="AN28" s="188"/>
      <c r="AO28" s="188"/>
      <c r="AP28" s="188"/>
      <c r="AQ28" s="188"/>
      <c r="AR28" s="188"/>
      <c r="AS28" s="188"/>
      <c r="AT28" s="1"/>
      <c r="AU28" s="1"/>
      <c r="AV28" s="20"/>
      <c r="AW28" s="20"/>
      <c r="BC28" s="145"/>
      <c r="BD28" s="145"/>
      <c r="BE28" s="145"/>
      <c r="BF28" s="145"/>
      <c r="BG28" s="145"/>
      <c r="BH28" s="145"/>
      <c r="BI28" s="145"/>
      <c r="BJ28" s="145"/>
      <c r="BL28" s="86"/>
      <c r="BO28" s="189"/>
      <c r="BQ28" s="11"/>
      <c r="BR28" s="178"/>
    </row>
    <row r="29" spans="2:70" ht="18.75" customHeight="1" thickBot="1" x14ac:dyDescent="0.25">
      <c r="B29" s="9"/>
      <c r="C29" s="9"/>
      <c r="D29" s="9"/>
      <c r="J29" s="38"/>
      <c r="K29" s="38"/>
      <c r="L29" s="38"/>
      <c r="M29" s="21" t="s">
        <v>93</v>
      </c>
      <c r="N29" s="38" t="s">
        <v>118</v>
      </c>
      <c r="O29" s="13"/>
      <c r="P29" s="255">
        <v>3</v>
      </c>
      <c r="Q29" s="256"/>
      <c r="R29" s="170" t="s">
        <v>15</v>
      </c>
      <c r="S29" s="1"/>
      <c r="T29" s="253"/>
      <c r="U29" s="254"/>
      <c r="V29" s="170" t="s">
        <v>29</v>
      </c>
      <c r="W29" s="13"/>
      <c r="X29" s="188"/>
      <c r="Y29" s="188"/>
      <c r="Z29" s="188"/>
      <c r="AA29" s="188"/>
      <c r="AB29" s="263">
        <f>IF(OR($T$29="",$T$29=0,),IF(OR($P$29="",$P$29=0),0,IF($P$29&gt;3,$P$29+2,5)),IF(OR($P$29="",$P$29&lt;3),5,$P$29+2))</f>
        <v>5</v>
      </c>
      <c r="AC29" s="263"/>
      <c r="AD29" s="1" t="s">
        <v>15</v>
      </c>
      <c r="AE29" s="188"/>
      <c r="AF29" s="259">
        <f>IF($P$29&lt;3,0,$T$29)</f>
        <v>0</v>
      </c>
      <c r="AG29" s="259"/>
      <c r="AH29" s="1" t="s">
        <v>21</v>
      </c>
      <c r="AI29" s="188"/>
      <c r="AJ29" s="260" t="s">
        <v>118</v>
      </c>
      <c r="AK29" s="260"/>
      <c r="AL29" s="260"/>
      <c r="AM29" s="255"/>
      <c r="AN29" s="256"/>
      <c r="AO29" s="263" t="s">
        <v>15</v>
      </c>
      <c r="AP29" s="263"/>
      <c r="AQ29" s="253"/>
      <c r="AR29" s="254"/>
      <c r="AS29" s="1" t="s">
        <v>21</v>
      </c>
      <c r="AT29" s="1"/>
      <c r="AU29" s="1"/>
      <c r="AV29" s="20"/>
      <c r="AW29" s="20"/>
      <c r="BC29" s="145"/>
      <c r="BD29" s="145"/>
      <c r="BE29" s="145"/>
      <c r="BF29" s="145"/>
      <c r="BG29" s="145"/>
      <c r="BH29" s="145"/>
      <c r="BI29" s="145"/>
      <c r="BJ29" s="145"/>
      <c r="BL29" s="86"/>
      <c r="BO29" s="189"/>
      <c r="BQ29" s="11"/>
      <c r="BR29" s="178"/>
    </row>
    <row r="30" spans="2:70" ht="15" customHeight="1" thickBot="1" x14ac:dyDescent="0.25">
      <c r="B30" s="9"/>
      <c r="C30" s="9"/>
      <c r="D30" s="9"/>
      <c r="M30" s="38"/>
      <c r="N30" s="38"/>
      <c r="O30" s="13"/>
      <c r="P30" s="188"/>
      <c r="Q30" s="188"/>
      <c r="R30" s="188"/>
      <c r="S30" s="1"/>
      <c r="T30" s="188"/>
      <c r="U30" s="188"/>
      <c r="V30" s="262" t="str">
        <f>IF(P29&gt;=3,"",IF(P29*60+T29&gt;0,"※走行時間は最低３時間のため＋２時間で５時間となります",""))</f>
        <v/>
      </c>
      <c r="W30" s="262"/>
      <c r="X30" s="262"/>
      <c r="Y30" s="262"/>
      <c r="Z30" s="262"/>
      <c r="AA30" s="262"/>
      <c r="AB30" s="262"/>
      <c r="AC30" s="262"/>
      <c r="AD30" s="262"/>
      <c r="AE30" s="262"/>
      <c r="AF30" s="262"/>
      <c r="AG30" s="262"/>
      <c r="AH30" s="262"/>
      <c r="AI30" s="262"/>
      <c r="AJ30" s="262"/>
      <c r="AK30" s="188"/>
      <c r="AL30" s="188"/>
      <c r="AM30" s="188"/>
      <c r="AN30" s="188"/>
      <c r="AO30" s="188"/>
      <c r="AP30" s="188"/>
      <c r="AQ30" s="188"/>
      <c r="AR30" s="188"/>
      <c r="AS30" s="188"/>
      <c r="AT30" s="1"/>
      <c r="AU30" s="1"/>
      <c r="AV30" s="20"/>
      <c r="AW30" s="20"/>
      <c r="BC30" s="145"/>
      <c r="BD30" s="145"/>
      <c r="BE30" s="145"/>
      <c r="BF30" s="145"/>
      <c r="BG30" s="145"/>
      <c r="BH30" s="145"/>
      <c r="BI30" s="145"/>
      <c r="BJ30" s="145"/>
      <c r="BL30" s="86"/>
      <c r="BO30" s="189"/>
      <c r="BQ30" s="11"/>
      <c r="BR30" s="178"/>
    </row>
    <row r="31" spans="2:70" ht="18.75" customHeight="1" thickBot="1" x14ac:dyDescent="0.25">
      <c r="B31" s="9"/>
      <c r="C31" s="9"/>
      <c r="D31" s="9"/>
      <c r="J31" s="38"/>
      <c r="K31" s="38"/>
      <c r="L31" s="38"/>
      <c r="M31" s="21" t="s">
        <v>93</v>
      </c>
      <c r="N31" s="38" t="s">
        <v>119</v>
      </c>
      <c r="O31" s="13"/>
      <c r="P31" s="255">
        <v>3</v>
      </c>
      <c r="Q31" s="256"/>
      <c r="R31" s="170" t="s">
        <v>15</v>
      </c>
      <c r="S31" s="1"/>
      <c r="T31" s="253"/>
      <c r="U31" s="254"/>
      <c r="V31" s="170" t="s">
        <v>29</v>
      </c>
      <c r="W31" s="13"/>
      <c r="X31" s="188"/>
      <c r="Y31" s="188"/>
      <c r="Z31" s="188"/>
      <c r="AA31" s="188"/>
      <c r="AB31" s="263">
        <f>IF(OR($T$31="",$T$31=0,),IF(OR($P$31="",$P$31=0),0,IF($P$31&gt;3,$P$31+2,5)),IF(OR($P$31="",$P$31&lt;3),5,$P$31+2))</f>
        <v>5</v>
      </c>
      <c r="AC31" s="263"/>
      <c r="AD31" s="1" t="s">
        <v>15</v>
      </c>
      <c r="AE31" s="188"/>
      <c r="AF31" s="259">
        <f>IF($P$31&lt;3,0,$T$31)</f>
        <v>0</v>
      </c>
      <c r="AG31" s="259"/>
      <c r="AH31" s="1" t="s">
        <v>21</v>
      </c>
      <c r="AI31" s="188"/>
      <c r="AJ31" s="260" t="s">
        <v>120</v>
      </c>
      <c r="AK31" s="260"/>
      <c r="AL31" s="260"/>
      <c r="AM31" s="255"/>
      <c r="AN31" s="256"/>
      <c r="AO31" s="263" t="s">
        <v>15</v>
      </c>
      <c r="AP31" s="263"/>
      <c r="AQ31" s="253"/>
      <c r="AR31" s="254"/>
      <c r="AS31" s="1" t="s">
        <v>21</v>
      </c>
      <c r="AT31" s="1"/>
      <c r="AU31" s="1"/>
      <c r="AV31" s="20"/>
      <c r="AW31" s="20"/>
      <c r="BC31" s="145"/>
      <c r="BD31" s="145"/>
      <c r="BE31" s="145"/>
      <c r="BF31" s="145"/>
      <c r="BG31" s="145"/>
      <c r="BH31" s="145"/>
      <c r="BI31" s="145"/>
      <c r="BJ31" s="145"/>
      <c r="BL31" s="86"/>
      <c r="BO31" s="189"/>
      <c r="BQ31" s="11"/>
      <c r="BR31" s="178"/>
    </row>
    <row r="32" spans="2:70" ht="15" customHeight="1" x14ac:dyDescent="0.2">
      <c r="B32" s="9"/>
      <c r="C32" s="9"/>
      <c r="D32" s="9"/>
      <c r="M32" s="38"/>
      <c r="N32" s="38"/>
      <c r="O32" s="13"/>
      <c r="P32" s="188"/>
      <c r="Q32" s="188"/>
      <c r="R32" s="188"/>
      <c r="S32" s="1"/>
      <c r="T32" s="188"/>
      <c r="U32" s="188"/>
      <c r="V32" s="262" t="str">
        <f>IF(P31&gt;=3,"",IF(P31*60+T31&gt;0,"※走行時間は最低３時間のため＋２時間で５時間となります",""))</f>
        <v/>
      </c>
      <c r="W32" s="262"/>
      <c r="X32" s="262"/>
      <c r="Y32" s="262"/>
      <c r="Z32" s="262"/>
      <c r="AA32" s="262"/>
      <c r="AB32" s="262"/>
      <c r="AC32" s="262"/>
      <c r="AD32" s="262"/>
      <c r="AE32" s="262"/>
      <c r="AF32" s="262"/>
      <c r="AG32" s="262"/>
      <c r="AH32" s="262"/>
      <c r="AI32" s="262"/>
      <c r="AJ32" s="262"/>
      <c r="AK32" s="188"/>
      <c r="AL32" s="188"/>
      <c r="AM32" s="188"/>
      <c r="AN32" s="188"/>
      <c r="AO32" s="188"/>
      <c r="AP32" s="188"/>
      <c r="AQ32" s="188"/>
      <c r="AR32" s="188"/>
      <c r="AS32" s="188"/>
      <c r="AT32" s="1"/>
      <c r="AU32" s="1"/>
      <c r="AV32" s="20"/>
      <c r="AW32" s="20"/>
      <c r="BC32" s="145"/>
      <c r="BD32" s="145"/>
      <c r="BE32" s="145"/>
      <c r="BF32" s="145"/>
      <c r="BG32" s="145"/>
      <c r="BH32" s="145"/>
      <c r="BI32" s="145"/>
      <c r="BJ32" s="145"/>
      <c r="BL32" s="86"/>
      <c r="BO32" s="189"/>
      <c r="BQ32" s="11"/>
      <c r="BR32" s="178"/>
    </row>
    <row r="33" spans="2:70" ht="19.5" customHeight="1" x14ac:dyDescent="0.2">
      <c r="B33" s="9"/>
      <c r="C33" s="9"/>
      <c r="D33" s="9"/>
      <c r="W33" s="1"/>
      <c r="Z33" s="107" t="s">
        <v>22</v>
      </c>
      <c r="AC33" s="258">
        <f>ROUND(((+AB13+AB15+AB17+AB19+AB21+AB23+AB25+AB27+AB29+AB31)*60+AF13+AF15+AF17+AF19+AF21+AF23+AF25+AF27+AF29+AF31)/60,0)</f>
        <v>50</v>
      </c>
      <c r="AD33" s="258"/>
      <c r="AE33" s="258"/>
      <c r="AF33" s="1" t="s">
        <v>15</v>
      </c>
      <c r="AK33" s="5" t="s">
        <v>38</v>
      </c>
      <c r="AQ33" s="258">
        <f>ROUND(((+AM13+AM15+AM17+AM19+AM21+AM23+AM25+AM27+AM29+AM31)*60+AQ13+AQ15+AQ17+AQ19+AQ21+AQ23+AQ25+AQ27+AQ29+AQ31)/60,0)</f>
        <v>1</v>
      </c>
      <c r="AR33" s="258"/>
      <c r="AS33" s="1" t="s">
        <v>15</v>
      </c>
      <c r="AV33" s="14"/>
      <c r="AW33" s="14"/>
      <c r="AX33" s="145"/>
      <c r="BC33" s="145"/>
      <c r="BD33" s="145"/>
      <c r="BL33" s="86"/>
      <c r="BO33" s="174"/>
      <c r="BQ33" s="11"/>
      <c r="BR33" s="178"/>
    </row>
    <row r="34" spans="2:70" ht="15" customHeight="1" x14ac:dyDescent="0.2">
      <c r="B34" s="9"/>
      <c r="C34" s="9"/>
      <c r="D34" s="9"/>
      <c r="Y34" s="102"/>
      <c r="Z34" s="102"/>
      <c r="AA34" s="102"/>
      <c r="AC34" s="102"/>
      <c r="AD34" s="102" t="str">
        <f>IF(OR(MOD(AF13+AF15+AF17,60)&gt;0,MOD(AQ13+AQ15+AQ17,60)&gt;0),"※３０分未満は切り捨て、３０分以上は１時間に切り上げとなります","")</f>
        <v/>
      </c>
      <c r="AE34" s="102"/>
      <c r="AF34" s="102"/>
      <c r="AG34" s="102"/>
      <c r="AH34" s="102"/>
      <c r="AI34" s="102"/>
      <c r="AJ34" s="102"/>
      <c r="AK34" s="102"/>
      <c r="AL34" s="102"/>
      <c r="AM34" s="102"/>
      <c r="AN34" s="102"/>
      <c r="AO34" s="102"/>
      <c r="AP34" s="102"/>
      <c r="AQ34" s="102"/>
      <c r="AR34" s="102"/>
      <c r="AZ34" s="146"/>
      <c r="BL34" s="86"/>
      <c r="BO34" s="174"/>
      <c r="BQ34" s="11"/>
      <c r="BR34" s="178"/>
    </row>
    <row r="35" spans="2:70" ht="6" customHeight="1" x14ac:dyDescent="0.2">
      <c r="B35" s="9"/>
      <c r="C35" s="9"/>
      <c r="D35" s="9"/>
      <c r="N35" s="43"/>
      <c r="O35" s="43"/>
      <c r="P35" s="43"/>
      <c r="Q35" s="43"/>
      <c r="R35" s="43"/>
      <c r="S35" s="43"/>
      <c r="T35" s="43"/>
      <c r="U35" s="43"/>
      <c r="V35" s="43"/>
      <c r="W35" s="43"/>
      <c r="X35" s="43"/>
      <c r="Y35" s="43"/>
      <c r="Z35" s="43"/>
      <c r="AA35" s="43"/>
      <c r="AB35" s="43"/>
      <c r="AC35" s="43"/>
      <c r="AK35" s="38"/>
      <c r="AN35" s="15"/>
      <c r="BA35" s="179"/>
      <c r="BD35" s="142"/>
      <c r="BF35" s="144"/>
      <c r="BG35" s="180"/>
    </row>
    <row r="36" spans="2:70" ht="14.25" customHeight="1" x14ac:dyDescent="0.2">
      <c r="B36" s="9"/>
      <c r="C36" s="9"/>
      <c r="D36" s="9"/>
      <c r="M36" s="8"/>
      <c r="N36" s="266"/>
      <c r="O36" s="266"/>
      <c r="P36" s="266"/>
      <c r="Q36" s="44"/>
      <c r="R36" s="160"/>
      <c r="S36" s="191" t="s">
        <v>108</v>
      </c>
      <c r="T36" s="38"/>
      <c r="U36" s="43"/>
      <c r="V36" s="43"/>
      <c r="W36" s="43"/>
      <c r="X36" s="43"/>
      <c r="Y36" s="43"/>
      <c r="Z36" s="43"/>
      <c r="AA36" s="43"/>
      <c r="AB36" s="43"/>
      <c r="AC36" s="43"/>
      <c r="AN36" s="15"/>
      <c r="BA36" s="179"/>
      <c r="BD36" s="142"/>
      <c r="BF36" s="144"/>
      <c r="BG36" s="180"/>
    </row>
    <row r="37" spans="2:70" ht="19.5" customHeight="1" x14ac:dyDescent="0.2">
      <c r="B37" s="9"/>
      <c r="C37" s="9"/>
      <c r="D37" s="9"/>
      <c r="G37" s="5" t="s">
        <v>20</v>
      </c>
      <c r="N37" s="273" t="s">
        <v>11</v>
      </c>
      <c r="O37" s="273"/>
      <c r="P37" s="273"/>
      <c r="Q37" s="36"/>
      <c r="R37" s="267">
        <f ca="1">VLOOKUP($AX$10,INDIRECT(VLOOKUP($AX$5,$AX$40:$AY$49,2,FALSE)),4,FALSE)</f>
        <v>130</v>
      </c>
      <c r="S37" s="267"/>
      <c r="T37" s="267"/>
      <c r="U37" s="16" t="s">
        <v>89</v>
      </c>
      <c r="AJ37" s="8"/>
      <c r="AK37" s="8"/>
      <c r="AL37" s="8"/>
      <c r="BC37" s="142"/>
    </row>
    <row r="38" spans="2:70" ht="6" customHeight="1" thickBot="1" x14ac:dyDescent="0.25">
      <c r="B38" s="9"/>
      <c r="C38" s="9"/>
      <c r="D38" s="9"/>
      <c r="AV38" s="14"/>
      <c r="AW38" s="14"/>
      <c r="AX38" s="144"/>
      <c r="BN38" s="174"/>
    </row>
    <row r="39" spans="2:70" ht="19.5" customHeight="1" thickBot="1" x14ac:dyDescent="0.25">
      <c r="B39" s="9"/>
      <c r="C39" s="9"/>
      <c r="D39" s="9"/>
      <c r="J39" s="5" t="s">
        <v>17</v>
      </c>
      <c r="N39" s="255">
        <v>1900</v>
      </c>
      <c r="O39" s="286"/>
      <c r="P39" s="256"/>
      <c r="Q39" s="5" t="s">
        <v>18</v>
      </c>
      <c r="R39" s="260" t="str">
        <f>IF(T39="","","→")</f>
        <v/>
      </c>
      <c r="S39" s="260"/>
      <c r="T39" s="263" t="str">
        <f>IF(MOD(N39,10)&gt;0,ROUNDUP(N39,-1),"")</f>
        <v/>
      </c>
      <c r="U39" s="263"/>
      <c r="V39" s="263"/>
      <c r="W39" s="38" t="str">
        <f>IF(T39="","","㎞")</f>
        <v/>
      </c>
      <c r="X39" s="46"/>
      <c r="Y39" s="47"/>
    </row>
    <row r="40" spans="2:70" ht="14.25" customHeight="1" x14ac:dyDescent="0.2">
      <c r="B40" s="9"/>
      <c r="C40" s="9"/>
      <c r="D40" s="9"/>
      <c r="Q40" s="48" t="str">
        <f>IF(T39="","","１０㎞未満は１０㎞に切り上げとなります")</f>
        <v/>
      </c>
      <c r="AV40" s="14"/>
      <c r="AW40" s="14"/>
      <c r="AX40" s="24">
        <v>1</v>
      </c>
      <c r="AY40" s="24" t="s">
        <v>77</v>
      </c>
    </row>
    <row r="41" spans="2:70" ht="9.75" customHeight="1" x14ac:dyDescent="0.2">
      <c r="B41" s="9"/>
      <c r="C41" s="9"/>
      <c r="D41" s="9"/>
      <c r="AX41" s="24">
        <v>2</v>
      </c>
      <c r="AY41" s="24" t="s">
        <v>78</v>
      </c>
    </row>
    <row r="42" spans="2:70" ht="15" hidden="1" customHeight="1" x14ac:dyDescent="0.2">
      <c r="B42" s="9"/>
      <c r="C42" s="9"/>
      <c r="D42" s="9"/>
      <c r="J42" s="49"/>
      <c r="K42" s="49"/>
      <c r="M42" s="117"/>
      <c r="N42" s="117"/>
      <c r="O42" s="117"/>
      <c r="P42" s="117"/>
      <c r="Q42" s="117"/>
      <c r="S42" s="117"/>
      <c r="T42" s="117"/>
      <c r="U42" s="117"/>
      <c r="V42" s="117"/>
      <c r="W42" s="117"/>
      <c r="X42" s="117"/>
      <c r="Y42" s="9"/>
      <c r="Z42" s="8"/>
      <c r="AA42" s="117"/>
      <c r="AB42" s="117"/>
      <c r="AC42" s="117"/>
      <c r="AD42" s="117"/>
      <c r="AE42" s="117"/>
      <c r="AF42" s="117"/>
      <c r="AG42" s="117"/>
      <c r="AH42" s="117"/>
      <c r="AI42" s="117"/>
      <c r="AJ42" s="117"/>
      <c r="AK42" s="117"/>
      <c r="AL42" s="117"/>
      <c r="AM42" s="117"/>
      <c r="AN42" s="117"/>
      <c r="AO42" s="117"/>
      <c r="AP42" s="117"/>
      <c r="AQ42" s="117"/>
      <c r="AR42" s="117"/>
      <c r="AS42" s="117"/>
      <c r="AT42" s="107"/>
      <c r="AU42" s="107"/>
      <c r="AV42" s="21"/>
      <c r="AW42" s="21"/>
      <c r="AX42" s="24">
        <v>3</v>
      </c>
      <c r="AY42" s="24" t="s">
        <v>79</v>
      </c>
    </row>
    <row r="43" spans="2:70" ht="15" customHeight="1" x14ac:dyDescent="0.2">
      <c r="B43" s="9"/>
      <c r="C43" s="9"/>
      <c r="D43" s="9"/>
      <c r="AX43" s="24">
        <v>4</v>
      </c>
      <c r="AY43" s="24" t="s">
        <v>80</v>
      </c>
    </row>
    <row r="44" spans="2:70" ht="18" customHeight="1" x14ac:dyDescent="0.2">
      <c r="B44" s="9"/>
      <c r="C44" s="9"/>
      <c r="D44" s="9"/>
      <c r="E44" s="5" t="s">
        <v>32</v>
      </c>
      <c r="I44" s="5" t="s">
        <v>36</v>
      </c>
      <c r="AX44" s="24">
        <v>5</v>
      </c>
      <c r="AY44" s="24" t="s">
        <v>81</v>
      </c>
    </row>
    <row r="45" spans="2:70" ht="15" customHeight="1" x14ac:dyDescent="0.2">
      <c r="B45" s="9"/>
      <c r="C45" s="9"/>
      <c r="D45" s="9"/>
      <c r="K45" s="260" t="s">
        <v>12</v>
      </c>
      <c r="L45" s="260"/>
      <c r="M45" s="260"/>
      <c r="O45" s="5" t="s">
        <v>33</v>
      </c>
      <c r="S45" s="38"/>
      <c r="U45" s="260" t="s">
        <v>11</v>
      </c>
      <c r="V45" s="260"/>
      <c r="W45" s="260"/>
      <c r="Y45" s="260" t="s">
        <v>17</v>
      </c>
      <c r="Z45" s="260"/>
      <c r="AA45" s="260"/>
      <c r="AB45" s="260"/>
      <c r="AX45" s="24">
        <v>6</v>
      </c>
      <c r="AY45" s="24" t="s">
        <v>82</v>
      </c>
    </row>
    <row r="46" spans="2:70" hidden="1" x14ac:dyDescent="0.2">
      <c r="B46" s="9"/>
      <c r="C46" s="9"/>
      <c r="D46" s="9"/>
      <c r="J46" s="107"/>
      <c r="K46" s="271"/>
      <c r="L46" s="271"/>
      <c r="M46" s="271"/>
      <c r="N46" s="104"/>
      <c r="O46" s="278"/>
      <c r="P46" s="278"/>
      <c r="Q46" s="278"/>
      <c r="S46" s="104"/>
      <c r="T46" s="109"/>
      <c r="U46" s="271"/>
      <c r="V46" s="271"/>
      <c r="W46" s="271"/>
      <c r="X46" s="104"/>
      <c r="Y46" s="277"/>
      <c r="Z46" s="277"/>
      <c r="AA46" s="277"/>
      <c r="AB46" s="277"/>
      <c r="AF46" s="271"/>
      <c r="AG46" s="271"/>
      <c r="AH46" s="271"/>
      <c r="AI46" s="271"/>
      <c r="AJ46" s="271"/>
      <c r="AK46" s="271"/>
      <c r="AL46" s="8"/>
      <c r="AX46" s="24">
        <v>7</v>
      </c>
      <c r="AY46" s="24" t="s">
        <v>83</v>
      </c>
    </row>
    <row r="47" spans="2:70" ht="7.5" customHeight="1" x14ac:dyDescent="0.2">
      <c r="B47" s="9"/>
      <c r="C47" s="9"/>
      <c r="D47" s="9"/>
      <c r="AX47" s="24">
        <v>8</v>
      </c>
      <c r="AY47" s="24" t="s">
        <v>84</v>
      </c>
    </row>
    <row r="48" spans="2:70" x14ac:dyDescent="0.2">
      <c r="B48" s="9"/>
      <c r="C48" s="9"/>
      <c r="D48" s="9"/>
      <c r="J48" s="107" t="s">
        <v>34</v>
      </c>
      <c r="K48" s="271">
        <f ca="1">R10</f>
        <v>5320</v>
      </c>
      <c r="L48" s="271"/>
      <c r="M48" s="271"/>
      <c r="N48" s="104" t="s">
        <v>13</v>
      </c>
      <c r="O48" s="278">
        <f>+AC33</f>
        <v>50</v>
      </c>
      <c r="P48" s="278"/>
      <c r="Q48" s="278"/>
      <c r="R48" s="151" t="s">
        <v>35</v>
      </c>
      <c r="S48" s="104" t="s">
        <v>14</v>
      </c>
      <c r="T48" s="109" t="s">
        <v>34</v>
      </c>
      <c r="U48" s="271">
        <f ca="1">+R37</f>
        <v>130</v>
      </c>
      <c r="V48" s="271"/>
      <c r="W48" s="271"/>
      <c r="X48" s="104" t="s">
        <v>13</v>
      </c>
      <c r="Y48" s="277">
        <f>IF($T$39="",$N$39,$T$39)</f>
        <v>1900</v>
      </c>
      <c r="Z48" s="277"/>
      <c r="AA48" s="277"/>
      <c r="AB48" s="277"/>
      <c r="AC48" s="5" t="s">
        <v>35</v>
      </c>
      <c r="AD48" s="5" t="s">
        <v>16</v>
      </c>
      <c r="AF48" s="271">
        <f ca="1">IF(OR(,$AC$33=0,,$N$39=""),"",ROUND(+K48*O48,0)+ROUND(U48*Y48,0))</f>
        <v>513000</v>
      </c>
      <c r="AG48" s="271"/>
      <c r="AH48" s="271"/>
      <c r="AI48" s="271"/>
      <c r="AJ48" s="271"/>
      <c r="AK48" s="271"/>
      <c r="AL48" s="8" t="s">
        <v>1</v>
      </c>
      <c r="AU48" s="104"/>
      <c r="AX48" s="24">
        <v>9</v>
      </c>
      <c r="AY48" s="24" t="s">
        <v>85</v>
      </c>
    </row>
    <row r="49" spans="2:65" ht="7.5" customHeight="1" x14ac:dyDescent="0.2">
      <c r="AT49" s="104"/>
      <c r="AU49" s="104"/>
      <c r="AV49" s="123"/>
      <c r="AW49" s="164"/>
      <c r="AX49" s="24">
        <v>10</v>
      </c>
      <c r="AY49" s="24" t="s">
        <v>86</v>
      </c>
      <c r="AZ49" s="142"/>
      <c r="BE49" s="142"/>
      <c r="BF49" s="142"/>
      <c r="BG49" s="142"/>
      <c r="BH49" s="142"/>
      <c r="BI49" s="142"/>
      <c r="BJ49" s="142"/>
    </row>
    <row r="50" spans="2:65" ht="13.5" hidden="1" customHeight="1" x14ac:dyDescent="0.2">
      <c r="B50" s="9"/>
      <c r="C50" s="9"/>
      <c r="D50" s="9"/>
      <c r="I50" s="268" t="str">
        <f>IF($AX$51=1,"","割引額")</f>
        <v/>
      </c>
      <c r="J50" s="268"/>
      <c r="K50" s="268"/>
      <c r="L50" s="260" t="str">
        <f>IF($AX$51=1,"","運賃額")</f>
        <v/>
      </c>
      <c r="M50" s="260"/>
      <c r="N50" s="260"/>
      <c r="O50" s="260"/>
      <c r="P50" s="50"/>
      <c r="Q50" s="284" t="str">
        <f>IF($AX$51=1,"","割引率")</f>
        <v/>
      </c>
      <c r="R50" s="284"/>
      <c r="S50" s="284"/>
      <c r="T50" s="284"/>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7"/>
      <c r="AS50" s="50"/>
      <c r="AT50" s="50"/>
    </row>
    <row r="51" spans="2:65" ht="13.5" hidden="1" customHeight="1" x14ac:dyDescent="0.2">
      <c r="B51" s="9"/>
      <c r="C51" s="9"/>
      <c r="D51" s="9"/>
      <c r="I51" s="268"/>
      <c r="J51" s="268"/>
      <c r="K51" s="268"/>
      <c r="L51" s="271" t="str">
        <f>IF($AX$51=1,"",+$AF$46)</f>
        <v/>
      </c>
      <c r="M51" s="271"/>
      <c r="N51" s="271"/>
      <c r="O51" s="271"/>
      <c r="P51" s="104" t="str">
        <f>IF($AX$51=1,"","×")</f>
        <v/>
      </c>
      <c r="Q51" s="285" t="str">
        <f>IF($AX$51=1,"",IF($AX$51=2,0.3,IF($AX$51=3,0.2,0)))</f>
        <v/>
      </c>
      <c r="R51" s="285"/>
      <c r="S51" s="285"/>
      <c r="T51" s="285"/>
      <c r="U51" s="5" t="str">
        <f>IF($AX$51=1,"","=")</f>
        <v/>
      </c>
      <c r="V51" s="271" t="str">
        <f>IF($AX$51=1,"",IF($AF$46="","",ROUND($L$51*$Q$51,0)))</f>
        <v/>
      </c>
      <c r="W51" s="271"/>
      <c r="X51" s="271"/>
      <c r="Y51" s="271"/>
      <c r="Z51" s="271"/>
      <c r="AB51" s="50"/>
      <c r="AC51" s="50"/>
      <c r="AD51" s="50"/>
      <c r="AE51" s="50"/>
      <c r="AF51" s="50"/>
      <c r="AG51" s="50"/>
      <c r="AH51" s="50"/>
      <c r="AI51" s="50"/>
      <c r="AJ51" s="50"/>
      <c r="AK51" s="50"/>
      <c r="AL51" s="50"/>
      <c r="AM51" s="50"/>
      <c r="AN51" s="50"/>
      <c r="AO51" s="50"/>
      <c r="AP51" s="50"/>
      <c r="AQ51" s="50"/>
      <c r="AR51" s="117"/>
      <c r="AS51" s="50"/>
      <c r="AT51" s="50"/>
      <c r="AX51" s="147">
        <v>1</v>
      </c>
    </row>
    <row r="52" spans="2:65" ht="8.25" hidden="1" customHeight="1" x14ac:dyDescent="0.2">
      <c r="B52" s="9"/>
      <c r="C52" s="9"/>
      <c r="D52" s="9"/>
      <c r="I52" s="38"/>
      <c r="J52" s="38"/>
      <c r="K52" s="38"/>
      <c r="L52" s="271"/>
      <c r="M52" s="271"/>
      <c r="N52" s="271"/>
      <c r="O52" s="271"/>
      <c r="P52" s="104"/>
      <c r="Q52" s="280"/>
      <c r="R52" s="280"/>
      <c r="S52" s="280"/>
      <c r="T52" s="280"/>
      <c r="V52" s="271"/>
      <c r="W52" s="271"/>
      <c r="X52" s="271"/>
      <c r="Y52" s="271"/>
      <c r="Z52" s="271"/>
      <c r="AA52" s="50"/>
      <c r="AB52" s="50"/>
      <c r="AC52" s="50"/>
      <c r="AD52" s="50"/>
      <c r="AE52" s="50"/>
      <c r="AF52" s="50"/>
      <c r="AG52" s="50"/>
      <c r="AH52" s="50"/>
      <c r="AI52" s="50"/>
      <c r="AJ52" s="50"/>
      <c r="AK52" s="50"/>
      <c r="AL52" s="50"/>
      <c r="AM52" s="50"/>
      <c r="AN52" s="50"/>
      <c r="AO52" s="50"/>
      <c r="AP52" s="50"/>
      <c r="AQ52" s="50"/>
      <c r="AR52" s="117"/>
      <c r="AS52" s="50"/>
      <c r="AT52" s="50"/>
      <c r="AX52" s="147"/>
    </row>
    <row r="53" spans="2:65" hidden="1" x14ac:dyDescent="0.2">
      <c r="I53" s="5" t="str">
        <f>IF($AX$51=1,"","割引後運賃額")</f>
        <v/>
      </c>
      <c r="O53" s="38" t="str">
        <f>IF($AX$51=1,"","時間制＋キロ制運賃額")</f>
        <v/>
      </c>
      <c r="P53" s="38"/>
      <c r="Q53" s="38"/>
      <c r="S53" s="38"/>
      <c r="T53" s="38"/>
      <c r="U53" s="38"/>
      <c r="V53" s="38"/>
      <c r="W53" s="104" t="str">
        <f>IF($AX$51=1,"","－")</f>
        <v/>
      </c>
      <c r="X53" s="38" t="str">
        <f>IF($AX$51=1,"","割引額")</f>
        <v/>
      </c>
      <c r="Y53" s="38"/>
      <c r="Z53" s="38"/>
      <c r="AA53" s="5" t="str">
        <f>IF($AX$51=1,"","＝")</f>
        <v/>
      </c>
      <c r="AB53" s="271" t="str">
        <f>IF($AX$51=1,"",(IF(AF46-V51&gt;AF48,AF46-V51,AF48)))</f>
        <v/>
      </c>
      <c r="AC53" s="271"/>
      <c r="AD53" s="271"/>
      <c r="AE53" s="271"/>
      <c r="AF53" s="271"/>
      <c r="AG53" s="271"/>
      <c r="AH53" s="8" t="str">
        <f>IF($AX$51=1,"","上限額①´")</f>
        <v/>
      </c>
      <c r="AI53" s="8"/>
      <c r="BM53" s="181"/>
    </row>
    <row r="54" spans="2:65" hidden="1" x14ac:dyDescent="0.2">
      <c r="O54" s="38"/>
      <c r="P54" s="38"/>
      <c r="Q54" s="38"/>
      <c r="S54" s="38"/>
      <c r="T54" s="38"/>
      <c r="U54" s="38"/>
      <c r="V54" s="38"/>
      <c r="W54" s="104"/>
      <c r="X54" s="38"/>
      <c r="Y54" s="38"/>
      <c r="Z54" s="38"/>
      <c r="AB54" s="19" t="str">
        <f>IF($AX$51=1,"","※割引は下限額を限度とします")</f>
        <v/>
      </c>
      <c r="AC54" s="110"/>
      <c r="AD54" s="110"/>
      <c r="AE54" s="110"/>
      <c r="AF54" s="110"/>
      <c r="AG54" s="110"/>
      <c r="AH54" s="8"/>
      <c r="AI54" s="8"/>
      <c r="BM54" s="181"/>
    </row>
    <row r="55" spans="2:65" x14ac:dyDescent="0.2">
      <c r="D55" s="16"/>
      <c r="E55" s="16"/>
      <c r="F55" s="16"/>
      <c r="G55" s="16"/>
      <c r="H55" s="16"/>
      <c r="I55" s="16"/>
      <c r="J55" s="16"/>
      <c r="K55" s="16"/>
      <c r="M55" s="118"/>
      <c r="N55" s="118"/>
      <c r="O55" s="118"/>
      <c r="P55" s="118"/>
      <c r="Q55" s="118"/>
      <c r="R55" s="162"/>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23"/>
      <c r="AW55" s="164"/>
      <c r="AX55" s="142"/>
    </row>
    <row r="56" spans="2:65" ht="21" x14ac:dyDescent="0.2">
      <c r="B56" s="51" t="s">
        <v>40</v>
      </c>
      <c r="E56" s="5" t="s">
        <v>23</v>
      </c>
      <c r="I56" s="8" t="str">
        <f>IF($AQ$33=0,"","深夜早朝時間が発生しています")</f>
        <v>深夜早朝時間が発生しています</v>
      </c>
      <c r="K56" s="3"/>
    </row>
    <row r="57" spans="2:65" ht="21" x14ac:dyDescent="0.2">
      <c r="B57" s="51"/>
      <c r="I57" s="8"/>
      <c r="K57" s="3"/>
    </row>
    <row r="58" spans="2:65" ht="20.25" customHeight="1" x14ac:dyDescent="0.2">
      <c r="J58" s="5" t="str">
        <f>IF($AQ$33=0,"","割増率")</f>
        <v>割増率</v>
      </c>
      <c r="M58" s="287">
        <v>20</v>
      </c>
      <c r="N58" s="287"/>
      <c r="O58" s="3" t="str">
        <f>IF($AQ$33=0,"","％")</f>
        <v>％</v>
      </c>
      <c r="P58" s="169"/>
      <c r="Q58" s="287"/>
      <c r="R58" s="287"/>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20"/>
      <c r="AX58" s="145"/>
      <c r="AY58" s="145"/>
      <c r="AZ58" s="145"/>
    </row>
    <row r="59" spans="2:65" x14ac:dyDescent="0.2">
      <c r="J59" s="8"/>
      <c r="K59" s="8"/>
      <c r="L59" s="8"/>
      <c r="M59" s="8"/>
      <c r="N59" s="8"/>
      <c r="O59" s="8"/>
      <c r="P59" s="8"/>
      <c r="Q59" s="8"/>
      <c r="R59" s="164"/>
      <c r="S59" s="8"/>
      <c r="T59" s="8"/>
      <c r="U59" s="8"/>
      <c r="V59" s="8"/>
      <c r="W59" s="8"/>
      <c r="AB59" s="260"/>
      <c r="AC59" s="260"/>
      <c r="AD59" s="260"/>
      <c r="AE59" s="260"/>
      <c r="AF59" s="38"/>
      <c r="AG59" s="260"/>
      <c r="AH59" s="260"/>
      <c r="AJ59" s="260"/>
      <c r="AK59" s="260"/>
      <c r="AL59" s="260"/>
      <c r="AM59" s="260"/>
      <c r="AN59" s="260"/>
      <c r="AV59" s="114"/>
      <c r="AW59" s="250"/>
      <c r="AX59" s="182"/>
      <c r="AY59" s="182"/>
      <c r="AZ59" s="145"/>
      <c r="BA59" s="145"/>
    </row>
    <row r="60" spans="2:65" ht="20.25" customHeight="1" x14ac:dyDescent="0.2">
      <c r="M60" s="116"/>
      <c r="N60" s="116"/>
      <c r="O60" s="5" t="str">
        <f>IF($AQ$33=0,"","時間単価")</f>
        <v>時間単価</v>
      </c>
      <c r="P60" s="52"/>
      <c r="Q60" s="8"/>
      <c r="R60" s="171"/>
      <c r="S60" s="3" t="str">
        <f>IF($AQ$33=0,"","割増率")</f>
        <v>割増率</v>
      </c>
      <c r="T60" s="40"/>
      <c r="U60" s="40"/>
      <c r="V60" s="40"/>
      <c r="W60" s="3" t="str">
        <f>IF($AQ$33=0,"","深夜早朝時間計")</f>
        <v>深夜早朝時間計</v>
      </c>
      <c r="AB60" s="104"/>
      <c r="AC60" s="104"/>
      <c r="AD60" s="104"/>
      <c r="AE60" s="104"/>
      <c r="AF60" s="38"/>
      <c r="AG60" s="104"/>
      <c r="AH60" s="104"/>
      <c r="AJ60" s="104"/>
      <c r="AK60" s="104"/>
      <c r="AL60" s="104"/>
      <c r="AM60" s="104"/>
      <c r="AN60" s="104"/>
      <c r="AV60" s="114"/>
      <c r="AW60" s="250"/>
      <c r="AX60" s="182"/>
      <c r="AY60" s="182"/>
      <c r="AZ60" s="145"/>
      <c r="BA60" s="145"/>
    </row>
    <row r="61" spans="2:65" ht="18.75" hidden="1" customHeight="1" x14ac:dyDescent="0.2">
      <c r="H61" s="260"/>
      <c r="I61" s="260"/>
      <c r="J61" s="260"/>
      <c r="K61" s="8"/>
      <c r="N61" s="271"/>
      <c r="O61" s="271"/>
      <c r="P61" s="271"/>
      <c r="Q61" s="271"/>
      <c r="S61" s="280"/>
      <c r="T61" s="280"/>
      <c r="U61" s="104"/>
      <c r="V61" s="278"/>
      <c r="W61" s="278"/>
      <c r="X61" s="278"/>
      <c r="Y61" s="278"/>
      <c r="Z61" s="278"/>
      <c r="AA61" s="104"/>
      <c r="AB61" s="279"/>
      <c r="AC61" s="279"/>
      <c r="AD61" s="279"/>
      <c r="AE61" s="279"/>
      <c r="AF61" s="279"/>
      <c r="AJ61" s="53"/>
      <c r="AK61" s="53"/>
      <c r="AL61" s="53"/>
    </row>
    <row r="62" spans="2:65" ht="5.25" hidden="1" customHeight="1" x14ac:dyDescent="0.2">
      <c r="H62" s="117"/>
      <c r="N62" s="110"/>
      <c r="O62" s="110"/>
      <c r="P62" s="110"/>
      <c r="Q62" s="110"/>
      <c r="S62" s="111"/>
      <c r="T62" s="111"/>
      <c r="U62" s="38"/>
      <c r="V62" s="113"/>
      <c r="W62" s="113"/>
      <c r="X62" s="113"/>
      <c r="Y62" s="113"/>
      <c r="Z62" s="113"/>
      <c r="AB62" s="54"/>
      <c r="AC62" s="54"/>
      <c r="AD62" s="54"/>
      <c r="AE62" s="54"/>
      <c r="AF62" s="54"/>
      <c r="AH62" s="13"/>
      <c r="AI62" s="13"/>
      <c r="AJ62" s="13"/>
      <c r="AK62" s="1"/>
      <c r="AL62" s="1"/>
      <c r="AN62" s="53"/>
    </row>
    <row r="63" spans="2:65" ht="13.5" hidden="1" customHeight="1" x14ac:dyDescent="0.2">
      <c r="D63" s="260"/>
      <c r="E63" s="260"/>
      <c r="F63" s="260"/>
      <c r="G63" s="260"/>
      <c r="H63" s="260"/>
      <c r="I63" s="260"/>
      <c r="J63" s="260"/>
      <c r="K63" s="34"/>
      <c r="L63" s="38"/>
      <c r="M63" s="38"/>
      <c r="N63" s="271"/>
      <c r="O63" s="271"/>
      <c r="P63" s="271"/>
      <c r="Q63" s="271"/>
      <c r="S63" s="283"/>
      <c r="T63" s="283"/>
      <c r="U63" s="104"/>
      <c r="V63" s="278"/>
      <c r="W63" s="278"/>
      <c r="X63" s="278"/>
      <c r="Y63" s="278"/>
      <c r="Z63" s="278"/>
      <c r="AA63" s="104"/>
      <c r="AB63" s="279"/>
      <c r="AC63" s="279"/>
      <c r="AD63" s="279"/>
      <c r="AE63" s="279"/>
      <c r="AF63" s="279"/>
      <c r="AH63" s="13"/>
      <c r="AI63" s="279"/>
      <c r="AJ63" s="279"/>
      <c r="AK63" s="279"/>
      <c r="AL63" s="279"/>
      <c r="AM63" s="279"/>
      <c r="AN63" s="34"/>
      <c r="AV63" s="114"/>
      <c r="AW63" s="250"/>
    </row>
    <row r="64" spans="2:65" ht="13.5" hidden="1" customHeight="1" x14ac:dyDescent="0.2">
      <c r="D64" s="151"/>
      <c r="E64" s="151"/>
      <c r="F64" s="151"/>
      <c r="G64" s="151"/>
      <c r="H64" s="151"/>
      <c r="I64" s="151"/>
      <c r="J64" s="151"/>
      <c r="K64" s="34"/>
      <c r="L64" s="38"/>
      <c r="M64" s="38"/>
      <c r="N64" s="154"/>
      <c r="O64" s="154"/>
      <c r="P64" s="154"/>
      <c r="Q64" s="154"/>
      <c r="S64" s="157"/>
      <c r="T64" s="157"/>
      <c r="U64" s="151"/>
      <c r="V64" s="153"/>
      <c r="W64" s="153"/>
      <c r="X64" s="153"/>
      <c r="Y64" s="153"/>
      <c r="Z64" s="153"/>
      <c r="AA64" s="151"/>
      <c r="AB64" s="155"/>
      <c r="AC64" s="155"/>
      <c r="AD64" s="155"/>
      <c r="AE64" s="155"/>
      <c r="AF64" s="155"/>
      <c r="AH64" s="170"/>
      <c r="AI64" s="155"/>
      <c r="AJ64" s="155"/>
      <c r="AK64" s="155"/>
      <c r="AL64" s="155"/>
      <c r="AM64" s="155"/>
      <c r="AN64" s="34"/>
      <c r="AO64" s="34"/>
      <c r="AP64" s="34"/>
      <c r="AV64" s="156"/>
      <c r="AW64" s="250"/>
    </row>
    <row r="65" spans="2:49" ht="19.5" hidden="1" customHeight="1" x14ac:dyDescent="0.2">
      <c r="H65" s="117"/>
      <c r="N65" s="271"/>
      <c r="O65" s="271"/>
      <c r="P65" s="271"/>
      <c r="Q65" s="271"/>
      <c r="S65" s="271"/>
      <c r="T65" s="271"/>
      <c r="U65" s="38"/>
      <c r="V65" s="278"/>
      <c r="W65" s="278"/>
      <c r="X65" s="278"/>
      <c r="Y65" s="278"/>
      <c r="Z65" s="278"/>
      <c r="AB65" s="288"/>
      <c r="AC65" s="288"/>
      <c r="AD65" s="288"/>
      <c r="AE65" s="288"/>
      <c r="AF65" s="288"/>
    </row>
    <row r="66" spans="2:49" x14ac:dyDescent="0.2">
      <c r="H66" s="161"/>
      <c r="N66" s="154"/>
      <c r="O66" s="154"/>
      <c r="P66" s="154"/>
      <c r="Q66" s="154"/>
      <c r="S66" s="157"/>
      <c r="T66" s="157"/>
      <c r="U66" s="38"/>
      <c r="V66" s="153"/>
      <c r="W66" s="153"/>
      <c r="X66" s="153"/>
      <c r="Y66" s="153"/>
      <c r="Z66" s="153"/>
      <c r="AB66" s="54"/>
      <c r="AC66" s="54"/>
      <c r="AD66" s="54"/>
      <c r="AE66" s="54"/>
      <c r="AF66" s="54"/>
      <c r="AH66" s="13"/>
      <c r="AI66" s="56"/>
      <c r="AJ66" s="56"/>
      <c r="AK66" s="56"/>
      <c r="AL66" s="56"/>
      <c r="AM66" s="56"/>
      <c r="AN66" s="57"/>
    </row>
    <row r="67" spans="2:49" x14ac:dyDescent="0.2">
      <c r="H67" s="275" t="str">
        <f>IF($AQ$33=0,"","(運    賃)")</f>
        <v>(運    賃)</v>
      </c>
      <c r="I67" s="275"/>
      <c r="J67" s="275"/>
      <c r="K67" s="275"/>
      <c r="L67" s="275"/>
      <c r="M67" s="275"/>
      <c r="N67" s="271">
        <f ca="1">IF($AQ$33=0,"",R10)</f>
        <v>5320</v>
      </c>
      <c r="O67" s="271"/>
      <c r="P67" s="271"/>
      <c r="Q67" s="271"/>
      <c r="R67" s="151" t="str">
        <f>IF($AQ$33=0,"","×")</f>
        <v>×</v>
      </c>
      <c r="S67" s="283">
        <f>IF($AQ$33=0,"",IF($M$58="","",+$M$58/100))</f>
        <v>0.2</v>
      </c>
      <c r="T67" s="283"/>
      <c r="U67" s="104" t="str">
        <f>IF($AQ$33=0,"","×")</f>
        <v>×</v>
      </c>
      <c r="V67" s="278">
        <f>IF($AQ$33=0,"",$AQ$33)</f>
        <v>1</v>
      </c>
      <c r="W67" s="278"/>
      <c r="X67" s="278"/>
      <c r="Y67" s="278"/>
      <c r="Z67" s="278"/>
      <c r="AA67" s="104" t="str">
        <f>IF($AQ$33=0,"","＝")</f>
        <v>＝</v>
      </c>
      <c r="AB67" s="279">
        <f ca="1">IF($AQ$33=0,"",IF(M58="","",ROUND(N67*S67*V67,0)))</f>
        <v>1064</v>
      </c>
      <c r="AC67" s="279"/>
      <c r="AD67" s="279"/>
      <c r="AE67" s="279"/>
      <c r="AF67" s="279"/>
    </row>
    <row r="68" spans="2:49" ht="6.75" hidden="1" customHeight="1" x14ac:dyDescent="0.2">
      <c r="H68" s="117"/>
      <c r="N68" s="110"/>
      <c r="O68" s="110"/>
      <c r="P68" s="110"/>
      <c r="Q68" s="110"/>
      <c r="S68" s="111"/>
      <c r="T68" s="111"/>
      <c r="U68" s="38"/>
      <c r="V68" s="113"/>
      <c r="W68" s="113"/>
      <c r="X68" s="113"/>
      <c r="Y68" s="113"/>
      <c r="Z68" s="113"/>
      <c r="AB68" s="54"/>
      <c r="AC68" s="54"/>
      <c r="AD68" s="54"/>
      <c r="AE68" s="54"/>
      <c r="AF68" s="54"/>
      <c r="AH68" s="13"/>
      <c r="AI68" s="56"/>
      <c r="AJ68" s="56"/>
      <c r="AK68" s="56"/>
      <c r="AL68" s="56"/>
      <c r="AM68" s="56"/>
      <c r="AN68" s="53"/>
    </row>
    <row r="69" spans="2:49" ht="13.5" customHeight="1" x14ac:dyDescent="0.2">
      <c r="D69" s="275" t="str">
        <f>IF($AQ$33=0,"",IF($AX$102=FALSE,"","　(交替運転者配置料金)"))</f>
        <v>　(交替運転者配置料金)</v>
      </c>
      <c r="E69" s="275"/>
      <c r="F69" s="275"/>
      <c r="G69" s="275"/>
      <c r="H69" s="275"/>
      <c r="I69" s="275"/>
      <c r="J69" s="275"/>
      <c r="K69" s="275"/>
      <c r="L69" s="275"/>
      <c r="M69" s="275"/>
      <c r="N69" s="271">
        <f ca="1">IF($AQ$33=0,"",IF($AX$102=FALSE,"",Q106))</f>
        <v>2670</v>
      </c>
      <c r="O69" s="271"/>
      <c r="P69" s="271"/>
      <c r="Q69" s="271"/>
      <c r="R69" s="151" t="str">
        <f>IF($AQ$33=0,"",IF($AX$102=FALSE,"","×"))</f>
        <v>×</v>
      </c>
      <c r="S69" s="283">
        <f>IF($AQ$33=0,"",IF($AX$102=FALSE,"",IF(M58="","",$M$58/100)))</f>
        <v>0.2</v>
      </c>
      <c r="T69" s="283"/>
      <c r="U69" s="104" t="str">
        <f>IF($AQ$33=0,"",IF($AX$102=FALSE,"","×"))</f>
        <v>×</v>
      </c>
      <c r="V69" s="278">
        <f>IF($AQ$33=0,"",IF($AX$102=FALSE,"",$AQ$33))</f>
        <v>1</v>
      </c>
      <c r="W69" s="278"/>
      <c r="X69" s="278"/>
      <c r="Y69" s="278"/>
      <c r="Z69" s="278"/>
      <c r="AA69" s="104" t="str">
        <f>IF($AQ$33=0,"","＝")</f>
        <v>＝</v>
      </c>
      <c r="AB69" s="279">
        <f ca="1">IF($AQ$33=0,"",IF($AX$102=FALSE,"",IF(M58="","",ROUND(N69*S69*V69,0))))</f>
        <v>534</v>
      </c>
      <c r="AC69" s="279"/>
      <c r="AD69" s="279"/>
      <c r="AE69" s="279"/>
      <c r="AF69" s="279"/>
      <c r="AH69" s="116" t="str">
        <f>IF($AQ$33=0,"","計")</f>
        <v>計</v>
      </c>
      <c r="AI69" s="279">
        <f ca="1">IF(AQ33=0,"",IF($AX$102=TRUE,AB67+AB69,AB67))</f>
        <v>1598</v>
      </c>
      <c r="AJ69" s="279"/>
      <c r="AK69" s="279"/>
      <c r="AL69" s="279"/>
      <c r="AM69" s="279"/>
      <c r="AN69" s="34" t="s">
        <v>23</v>
      </c>
      <c r="AO69" s="34"/>
      <c r="AP69" s="34"/>
      <c r="AV69" s="114"/>
      <c r="AW69" s="250"/>
    </row>
    <row r="70" spans="2:49" ht="13.5" customHeight="1" x14ac:dyDescent="0.2">
      <c r="D70" s="151"/>
      <c r="E70" s="151"/>
      <c r="F70" s="151"/>
      <c r="G70" s="151"/>
      <c r="H70" s="151"/>
      <c r="I70" s="151"/>
      <c r="J70" s="151"/>
      <c r="K70" s="34"/>
      <c r="M70" s="38"/>
      <c r="N70" s="154"/>
      <c r="O70" s="154"/>
      <c r="P70" s="154"/>
      <c r="Q70" s="154"/>
      <c r="S70" s="157"/>
      <c r="T70" s="157"/>
      <c r="U70" s="151"/>
      <c r="V70" s="153"/>
      <c r="W70" s="153"/>
      <c r="X70" s="153"/>
      <c r="Y70" s="153"/>
      <c r="Z70" s="153"/>
      <c r="AA70" s="151"/>
      <c r="AB70" s="155"/>
      <c r="AC70" s="155"/>
      <c r="AD70" s="155"/>
      <c r="AE70" s="155"/>
      <c r="AF70" s="155"/>
      <c r="AH70" s="9"/>
      <c r="AI70" s="9"/>
      <c r="AJ70" s="9"/>
      <c r="AK70" s="9"/>
      <c r="AL70" s="9"/>
      <c r="AM70" s="9"/>
      <c r="AN70" s="9"/>
      <c r="AO70" s="9"/>
      <c r="AP70" s="9"/>
      <c r="AV70" s="156"/>
      <c r="AW70" s="250"/>
    </row>
    <row r="71" spans="2:49" ht="13.5" hidden="1" customHeight="1" x14ac:dyDescent="0.2">
      <c r="D71" s="151"/>
      <c r="E71" s="151"/>
      <c r="F71" s="151"/>
      <c r="G71" s="151"/>
      <c r="H71" s="151"/>
      <c r="I71" s="151"/>
      <c r="J71" s="151"/>
      <c r="K71" s="34"/>
      <c r="M71" s="38"/>
      <c r="N71" s="271"/>
      <c r="O71" s="271"/>
      <c r="P71" s="271"/>
      <c r="Q71" s="271"/>
      <c r="S71" s="271"/>
      <c r="T71" s="271"/>
      <c r="U71" s="151"/>
      <c r="V71" s="278"/>
      <c r="W71" s="278"/>
      <c r="X71" s="278"/>
      <c r="Y71" s="278"/>
      <c r="Z71" s="278"/>
      <c r="AA71" s="151"/>
      <c r="AB71" s="279"/>
      <c r="AC71" s="279"/>
      <c r="AD71" s="279"/>
      <c r="AE71" s="279"/>
      <c r="AF71" s="279"/>
      <c r="AG71" s="56"/>
      <c r="AV71" s="156"/>
      <c r="AW71" s="250"/>
    </row>
    <row r="72" spans="2:49" ht="13.5" hidden="1" customHeight="1" x14ac:dyDescent="0.2">
      <c r="B72" s="156"/>
      <c r="C72" s="156"/>
      <c r="D72" s="156"/>
      <c r="F72" s="156"/>
      <c r="G72" s="151"/>
      <c r="H72" s="151"/>
      <c r="I72" s="151"/>
      <c r="J72" s="151"/>
      <c r="K72" s="34"/>
      <c r="M72" s="38"/>
      <c r="N72" s="154"/>
      <c r="O72" s="154"/>
      <c r="P72" s="154"/>
      <c r="Q72" s="154"/>
      <c r="S72" s="168"/>
      <c r="T72" s="157"/>
      <c r="U72" s="151"/>
      <c r="V72" s="153"/>
      <c r="W72" s="153"/>
      <c r="X72" s="153"/>
      <c r="Y72" s="153"/>
      <c r="Z72" s="153"/>
      <c r="AA72" s="151"/>
      <c r="AB72" s="155"/>
      <c r="AC72" s="155"/>
      <c r="AD72" s="155"/>
      <c r="AE72" s="155"/>
      <c r="AF72" s="155"/>
      <c r="AH72" s="159"/>
      <c r="AI72" s="155"/>
      <c r="AJ72" s="155"/>
      <c r="AK72" s="155"/>
      <c r="AL72" s="155"/>
      <c r="AM72" s="155"/>
      <c r="AN72" s="34"/>
      <c r="AO72" s="34"/>
      <c r="AP72" s="34"/>
      <c r="AV72" s="156"/>
      <c r="AW72" s="250"/>
    </row>
    <row r="73" spans="2:49" ht="24" hidden="1" customHeight="1" x14ac:dyDescent="0.2">
      <c r="D73" s="161"/>
      <c r="E73" s="151"/>
      <c r="F73" s="151"/>
      <c r="G73" s="151"/>
      <c r="H73" s="151"/>
      <c r="I73" s="151"/>
      <c r="J73" s="151"/>
      <c r="K73" s="34"/>
      <c r="M73" s="38"/>
      <c r="N73" s="154"/>
      <c r="O73" s="154"/>
      <c r="P73" s="154"/>
      <c r="Q73" s="154"/>
      <c r="S73" s="157"/>
      <c r="T73" s="157"/>
      <c r="U73" s="151"/>
      <c r="V73" s="153"/>
      <c r="W73" s="153"/>
      <c r="X73" s="153"/>
      <c r="Y73" s="153"/>
      <c r="Z73" s="153"/>
      <c r="AA73" s="151"/>
      <c r="AB73" s="155"/>
      <c r="AC73" s="155"/>
      <c r="AD73" s="155"/>
      <c r="AE73" s="155"/>
      <c r="AF73" s="155"/>
      <c r="AH73" s="159"/>
      <c r="AI73" s="155"/>
      <c r="AJ73" s="155"/>
      <c r="AK73" s="155"/>
      <c r="AL73" s="155"/>
      <c r="AM73" s="155"/>
      <c r="AN73" s="34"/>
      <c r="AO73" s="34"/>
      <c r="AP73" s="34"/>
      <c r="AV73" s="156"/>
      <c r="AW73" s="250"/>
    </row>
    <row r="74" spans="2:49" ht="13.5" hidden="1" customHeight="1" x14ac:dyDescent="0.2">
      <c r="H74" s="260"/>
      <c r="I74" s="260"/>
      <c r="J74" s="260"/>
      <c r="K74" s="8"/>
      <c r="N74" s="271"/>
      <c r="O74" s="271"/>
      <c r="P74" s="271"/>
      <c r="Q74" s="271"/>
      <c r="S74" s="280"/>
      <c r="T74" s="280"/>
      <c r="U74" s="151"/>
      <c r="V74" s="278"/>
      <c r="W74" s="278"/>
      <c r="X74" s="278"/>
      <c r="Y74" s="278"/>
      <c r="Z74" s="278"/>
      <c r="AA74" s="151"/>
      <c r="AB74" s="279"/>
      <c r="AC74" s="279"/>
      <c r="AD74" s="279"/>
      <c r="AE74" s="279"/>
      <c r="AF74" s="279"/>
      <c r="AJ74" s="53"/>
      <c r="AK74" s="53"/>
      <c r="AL74" s="53"/>
      <c r="AV74" s="156"/>
      <c r="AW74" s="250"/>
    </row>
    <row r="75" spans="2:49" ht="7.5" hidden="1" customHeight="1" x14ac:dyDescent="0.2">
      <c r="H75" s="161"/>
      <c r="N75" s="154"/>
      <c r="O75" s="154"/>
      <c r="P75" s="154"/>
      <c r="Q75" s="154"/>
      <c r="S75" s="157"/>
      <c r="T75" s="157"/>
      <c r="U75" s="38"/>
      <c r="V75" s="153"/>
      <c r="W75" s="153"/>
      <c r="X75" s="153"/>
      <c r="Y75" s="153"/>
      <c r="Z75" s="153"/>
      <c r="AB75" s="54"/>
      <c r="AC75" s="54"/>
      <c r="AD75" s="54"/>
      <c r="AE75" s="54"/>
      <c r="AF75" s="54"/>
      <c r="AH75" s="13"/>
      <c r="AI75" s="13"/>
      <c r="AJ75" s="13"/>
      <c r="AK75" s="1"/>
      <c r="AL75" s="1"/>
      <c r="AN75" s="53"/>
      <c r="AV75" s="156"/>
      <c r="AW75" s="250"/>
    </row>
    <row r="76" spans="2:49" ht="13.5" hidden="1" customHeight="1" x14ac:dyDescent="0.2">
      <c r="D76" s="260"/>
      <c r="E76" s="260"/>
      <c r="F76" s="260"/>
      <c r="G76" s="260"/>
      <c r="H76" s="260"/>
      <c r="I76" s="260"/>
      <c r="J76" s="260"/>
      <c r="K76" s="34"/>
      <c r="L76" s="38"/>
      <c r="M76" s="38"/>
      <c r="N76" s="271"/>
      <c r="O76" s="271"/>
      <c r="P76" s="271"/>
      <c r="Q76" s="271"/>
      <c r="S76" s="280"/>
      <c r="T76" s="280"/>
      <c r="U76" s="151"/>
      <c r="V76" s="278"/>
      <c r="W76" s="278"/>
      <c r="X76" s="278"/>
      <c r="Y76" s="278"/>
      <c r="Z76" s="278"/>
      <c r="AA76" s="151"/>
      <c r="AB76" s="279"/>
      <c r="AC76" s="279"/>
      <c r="AD76" s="279"/>
      <c r="AE76" s="279"/>
      <c r="AF76" s="279"/>
      <c r="AH76" s="159"/>
      <c r="AI76" s="279"/>
      <c r="AJ76" s="279"/>
      <c r="AK76" s="279"/>
      <c r="AL76" s="279"/>
      <c r="AM76" s="279"/>
      <c r="AN76" s="34"/>
      <c r="AO76" s="34"/>
      <c r="AP76" s="34"/>
      <c r="AV76" s="156"/>
      <c r="AW76" s="250"/>
    </row>
    <row r="77" spans="2:49" ht="13.5" hidden="1" customHeight="1" x14ac:dyDescent="0.2">
      <c r="H77" s="161"/>
      <c r="N77" s="154"/>
      <c r="O77" s="154"/>
      <c r="P77" s="154"/>
      <c r="Q77" s="154"/>
      <c r="S77" s="157"/>
      <c r="T77" s="157"/>
      <c r="U77" s="38"/>
      <c r="V77" s="153"/>
      <c r="W77" s="153"/>
      <c r="X77" s="153"/>
      <c r="Y77" s="153"/>
      <c r="Z77" s="153"/>
      <c r="AB77" s="54"/>
      <c r="AC77" s="54"/>
      <c r="AD77" s="54"/>
      <c r="AE77" s="54"/>
      <c r="AF77" s="54"/>
      <c r="AH77" s="13"/>
      <c r="AI77" s="56"/>
      <c r="AJ77" s="56"/>
      <c r="AK77" s="56"/>
      <c r="AL77" s="56"/>
      <c r="AM77" s="56"/>
      <c r="AN77" s="57"/>
      <c r="AV77" s="156"/>
      <c r="AW77" s="250"/>
    </row>
    <row r="78" spans="2:49" ht="13.5" hidden="1" customHeight="1" x14ac:dyDescent="0.2">
      <c r="H78" s="260"/>
      <c r="I78" s="260"/>
      <c r="J78" s="260"/>
      <c r="K78" s="8"/>
      <c r="N78" s="271"/>
      <c r="O78" s="271"/>
      <c r="P78" s="271"/>
      <c r="Q78" s="271"/>
      <c r="S78" s="280"/>
      <c r="T78" s="280"/>
      <c r="U78" s="151"/>
      <c r="V78" s="278"/>
      <c r="W78" s="278"/>
      <c r="X78" s="278"/>
      <c r="Y78" s="278"/>
      <c r="Z78" s="278"/>
      <c r="AA78" s="151"/>
      <c r="AB78" s="279"/>
      <c r="AC78" s="279"/>
      <c r="AD78" s="279"/>
      <c r="AE78" s="279"/>
      <c r="AF78" s="279"/>
      <c r="AV78" s="156"/>
      <c r="AW78" s="250"/>
    </row>
    <row r="79" spans="2:49" ht="7.5" hidden="1" customHeight="1" x14ac:dyDescent="0.2">
      <c r="H79" s="161"/>
      <c r="N79" s="154"/>
      <c r="O79" s="154"/>
      <c r="P79" s="154"/>
      <c r="Q79" s="154"/>
      <c r="S79" s="157"/>
      <c r="T79" s="157"/>
      <c r="U79" s="38"/>
      <c r="V79" s="153"/>
      <c r="W79" s="153"/>
      <c r="X79" s="153"/>
      <c r="Y79" s="153"/>
      <c r="Z79" s="153"/>
      <c r="AB79" s="54"/>
      <c r="AC79" s="54"/>
      <c r="AD79" s="54"/>
      <c r="AE79" s="54"/>
      <c r="AF79" s="54"/>
      <c r="AH79" s="13"/>
      <c r="AI79" s="56"/>
      <c r="AJ79" s="56"/>
      <c r="AK79" s="56"/>
      <c r="AL79" s="56"/>
      <c r="AM79" s="56"/>
      <c r="AN79" s="53"/>
      <c r="AV79" s="156"/>
      <c r="AW79" s="250"/>
    </row>
    <row r="80" spans="2:49" ht="13.5" hidden="1" customHeight="1" x14ac:dyDescent="0.2">
      <c r="D80" s="260"/>
      <c r="E80" s="260"/>
      <c r="F80" s="260"/>
      <c r="G80" s="260"/>
      <c r="H80" s="260"/>
      <c r="I80" s="260"/>
      <c r="J80" s="260"/>
      <c r="K80" s="34"/>
      <c r="M80" s="38"/>
      <c r="N80" s="271"/>
      <c r="O80" s="271"/>
      <c r="P80" s="271"/>
      <c r="Q80" s="271"/>
      <c r="S80" s="280"/>
      <c r="T80" s="280"/>
      <c r="U80" s="151"/>
      <c r="V80" s="278"/>
      <c r="W80" s="278"/>
      <c r="X80" s="278"/>
      <c r="Y80" s="278"/>
      <c r="Z80" s="278"/>
      <c r="AA80" s="151"/>
      <c r="AB80" s="279"/>
      <c r="AC80" s="279"/>
      <c r="AD80" s="279"/>
      <c r="AE80" s="279"/>
      <c r="AF80" s="279"/>
      <c r="AH80" s="159"/>
      <c r="AI80" s="279"/>
      <c r="AJ80" s="279"/>
      <c r="AK80" s="279"/>
      <c r="AL80" s="279"/>
      <c r="AM80" s="279"/>
      <c r="AN80" s="34"/>
      <c r="AO80" s="34"/>
      <c r="AP80" s="34"/>
      <c r="AV80" s="156"/>
      <c r="AW80" s="250"/>
    </row>
    <row r="81" spans="1:50" ht="13.5" hidden="1" customHeight="1" x14ac:dyDescent="0.2">
      <c r="D81" s="151"/>
      <c r="E81" s="151"/>
      <c r="F81" s="151"/>
      <c r="G81" s="151"/>
      <c r="H81" s="151"/>
      <c r="I81" s="151"/>
      <c r="J81" s="151"/>
      <c r="K81" s="34"/>
      <c r="M81" s="38"/>
      <c r="N81" s="154"/>
      <c r="O81" s="154"/>
      <c r="P81" s="154"/>
      <c r="Q81" s="154"/>
      <c r="S81" s="157"/>
      <c r="T81" s="157"/>
      <c r="U81" s="151"/>
      <c r="V81" s="153"/>
      <c r="W81" s="153"/>
      <c r="X81" s="153"/>
      <c r="Y81" s="153"/>
      <c r="Z81" s="153"/>
      <c r="AA81" s="151"/>
      <c r="AB81" s="155"/>
      <c r="AC81" s="155"/>
      <c r="AD81" s="155"/>
      <c r="AE81" s="155"/>
      <c r="AF81" s="155"/>
      <c r="AH81" s="159"/>
      <c r="AI81" s="155"/>
      <c r="AJ81" s="155"/>
      <c r="AK81" s="155"/>
      <c r="AL81" s="155"/>
      <c r="AM81" s="155"/>
      <c r="AN81" s="34"/>
      <c r="AO81" s="34"/>
      <c r="AP81" s="34"/>
      <c r="AV81" s="156"/>
      <c r="AW81" s="250"/>
    </row>
    <row r="82" spans="1:50" ht="13.5" hidden="1" customHeight="1" x14ac:dyDescent="0.2">
      <c r="D82" s="151"/>
      <c r="E82" s="151"/>
      <c r="F82" s="151"/>
      <c r="G82" s="151"/>
      <c r="H82" s="151"/>
      <c r="I82" s="151"/>
      <c r="J82" s="151"/>
      <c r="K82" s="34"/>
      <c r="M82" s="38"/>
      <c r="N82" s="154"/>
      <c r="O82" s="154"/>
      <c r="P82" s="154"/>
      <c r="Q82" s="154"/>
      <c r="S82" s="157"/>
      <c r="T82" s="157"/>
      <c r="U82" s="151"/>
      <c r="V82" s="153"/>
      <c r="W82" s="153"/>
      <c r="X82" s="153"/>
      <c r="Y82" s="153"/>
      <c r="Z82" s="153"/>
      <c r="AA82" s="151"/>
      <c r="AB82" s="155"/>
      <c r="AC82" s="155"/>
      <c r="AD82" s="155"/>
      <c r="AE82" s="155"/>
      <c r="AF82" s="155"/>
      <c r="AH82" s="159"/>
      <c r="AI82" s="155"/>
      <c r="AJ82" s="155"/>
      <c r="AK82" s="155"/>
      <c r="AL82" s="155"/>
      <c r="AM82" s="155"/>
      <c r="AN82" s="34"/>
      <c r="AO82" s="34"/>
      <c r="AP82" s="34"/>
      <c r="AV82" s="156"/>
      <c r="AW82" s="250"/>
    </row>
    <row r="83" spans="1:50" ht="13.5" hidden="1" customHeight="1" x14ac:dyDescent="0.2">
      <c r="D83" s="151"/>
      <c r="E83" s="151"/>
      <c r="F83" s="151"/>
      <c r="G83" s="151"/>
      <c r="H83" s="151"/>
      <c r="I83" s="151"/>
      <c r="J83" s="151"/>
      <c r="K83" s="34"/>
      <c r="M83" s="38"/>
      <c r="N83" s="154"/>
      <c r="O83" s="154"/>
      <c r="P83" s="154"/>
      <c r="Q83" s="154"/>
      <c r="S83" s="157"/>
      <c r="T83" s="157"/>
      <c r="U83" s="151"/>
      <c r="V83" s="153"/>
      <c r="W83" s="153"/>
      <c r="X83" s="153"/>
      <c r="Y83" s="153"/>
      <c r="Z83" s="153"/>
      <c r="AA83" s="151"/>
      <c r="AB83" s="155"/>
      <c r="AC83" s="155"/>
      <c r="AD83" s="155"/>
      <c r="AE83" s="155"/>
      <c r="AF83" s="155"/>
      <c r="AH83" s="159"/>
      <c r="AI83" s="155"/>
      <c r="AJ83" s="155"/>
      <c r="AK83" s="155"/>
      <c r="AL83" s="155"/>
      <c r="AM83" s="155"/>
      <c r="AN83" s="34"/>
      <c r="AO83" s="34"/>
      <c r="AP83" s="34"/>
      <c r="AV83" s="156"/>
      <c r="AW83" s="250"/>
    </row>
    <row r="84" spans="1:50" ht="13.5" hidden="1" customHeight="1" x14ac:dyDescent="0.2">
      <c r="D84" s="151"/>
      <c r="E84" s="151"/>
      <c r="F84" s="151"/>
      <c r="G84" s="151"/>
      <c r="H84" s="151"/>
      <c r="I84" s="151"/>
      <c r="J84" s="151"/>
      <c r="K84" s="34"/>
      <c r="M84" s="38"/>
      <c r="N84" s="154"/>
      <c r="O84" s="154"/>
      <c r="P84" s="154"/>
      <c r="Q84" s="154"/>
      <c r="S84" s="157"/>
      <c r="T84" s="157"/>
      <c r="U84" s="151"/>
      <c r="V84" s="153"/>
      <c r="W84" s="153"/>
      <c r="X84" s="153"/>
      <c r="Y84" s="153"/>
      <c r="Z84" s="153"/>
      <c r="AA84" s="151"/>
      <c r="AB84" s="155"/>
      <c r="AC84" s="155"/>
      <c r="AD84" s="155"/>
      <c r="AE84" s="155"/>
      <c r="AF84" s="155"/>
      <c r="AH84" s="159"/>
      <c r="AI84" s="155"/>
      <c r="AJ84" s="155"/>
      <c r="AK84" s="155"/>
      <c r="AL84" s="155"/>
      <c r="AM84" s="155"/>
      <c r="AN84" s="34"/>
      <c r="AO84" s="34"/>
      <c r="AP84" s="34"/>
      <c r="AV84" s="156"/>
      <c r="AW84" s="250"/>
    </row>
    <row r="85" spans="1:50" x14ac:dyDescent="0.2">
      <c r="A85" s="8"/>
      <c r="B85" s="8"/>
      <c r="C85" s="8"/>
      <c r="AC85" s="1"/>
      <c r="AD85" s="1"/>
      <c r="AE85" s="1"/>
      <c r="AF85" s="1"/>
      <c r="AG85" s="1"/>
      <c r="AH85" s="13"/>
      <c r="AI85" s="56"/>
      <c r="AJ85" s="56"/>
      <c r="AK85" s="56"/>
      <c r="AL85" s="56"/>
      <c r="AM85" s="56"/>
    </row>
    <row r="86" spans="1:50" x14ac:dyDescent="0.2">
      <c r="A86" s="8"/>
      <c r="B86" s="8"/>
      <c r="C86" s="8"/>
      <c r="E86" s="5" t="s">
        <v>24</v>
      </c>
      <c r="K86" s="3"/>
      <c r="AI86" s="3"/>
      <c r="AJ86" s="3"/>
      <c r="AX86" s="24" t="b">
        <v>1</v>
      </c>
    </row>
    <row r="87" spans="1:50" ht="25.5" customHeight="1" thickBot="1" x14ac:dyDescent="0.25">
      <c r="A87" s="8"/>
      <c r="B87" s="8"/>
      <c r="C87" s="8"/>
      <c r="D87" s="58" t="s">
        <v>110</v>
      </c>
      <c r="AI87" s="38"/>
      <c r="AJ87" s="38"/>
      <c r="AK87" s="38"/>
      <c r="AL87" s="38"/>
    </row>
    <row r="88" spans="1:50" ht="25.5" hidden="1" customHeight="1" thickBot="1" x14ac:dyDescent="0.25">
      <c r="A88" s="8"/>
      <c r="B88" s="8"/>
      <c r="C88" s="8"/>
      <c r="D88" s="58"/>
      <c r="AJ88" s="3"/>
    </row>
    <row r="89" spans="1:50" ht="20.25" customHeight="1" thickBot="1" x14ac:dyDescent="0.25">
      <c r="A89" s="9"/>
      <c r="G89" s="282"/>
      <c r="H89" s="282"/>
      <c r="M89" s="300" t="s">
        <v>122</v>
      </c>
      <c r="N89" s="300"/>
      <c r="O89" s="3"/>
      <c r="P89" s="46"/>
      <c r="Q89" s="298">
        <v>20</v>
      </c>
      <c r="R89" s="299"/>
      <c r="S89" s="3" t="str">
        <f>IF($AX$86=FALSE,"","％")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50" hidden="1" x14ac:dyDescent="0.2">
      <c r="A90" s="9"/>
      <c r="N90" s="1"/>
      <c r="P90" s="1"/>
      <c r="Y90" s="9"/>
      <c r="Z90" s="9"/>
      <c r="AA90" s="9"/>
      <c r="AB90" s="9"/>
      <c r="AC90" s="9"/>
      <c r="AD90" s="9"/>
      <c r="AE90" s="9"/>
      <c r="AF90" s="9"/>
      <c r="AG90" s="9"/>
      <c r="AH90" s="9"/>
      <c r="AI90" s="9"/>
      <c r="AJ90" s="9"/>
      <c r="AK90" s="9"/>
      <c r="AL90" s="9"/>
      <c r="AM90" s="9"/>
      <c r="AN90" s="9"/>
      <c r="AO90" s="9"/>
      <c r="AP90" s="9"/>
      <c r="AQ90" s="9"/>
      <c r="AR90" s="9"/>
      <c r="AS90" s="9"/>
    </row>
    <row r="91" spans="1:50" ht="4.5" hidden="1" customHeight="1" x14ac:dyDescent="0.2">
      <c r="A91" s="9"/>
      <c r="P91" s="1"/>
      <c r="V91" s="104"/>
      <c r="Y91" s="9"/>
      <c r="Z91" s="9"/>
      <c r="AA91" s="9"/>
      <c r="AB91" s="9"/>
      <c r="AC91" s="9"/>
      <c r="AD91" s="9"/>
      <c r="AE91" s="9"/>
      <c r="AF91" s="9"/>
      <c r="AG91" s="9"/>
      <c r="AH91" s="9"/>
      <c r="AI91" s="9"/>
      <c r="AJ91" s="9"/>
      <c r="AK91" s="9"/>
      <c r="AL91" s="9"/>
      <c r="AM91" s="9"/>
      <c r="AN91" s="9"/>
      <c r="AO91" s="9"/>
      <c r="AP91" s="9"/>
      <c r="AQ91" s="9"/>
      <c r="AR91" s="9"/>
      <c r="AS91" s="9"/>
    </row>
    <row r="92" spans="1:50" hidden="1" x14ac:dyDescent="0.2">
      <c r="A92" s="9"/>
      <c r="J92" s="260"/>
      <c r="K92" s="260"/>
      <c r="L92" s="260"/>
      <c r="M92" s="260"/>
      <c r="N92" s="260"/>
      <c r="P92" s="260"/>
      <c r="Q92" s="260"/>
      <c r="R92" s="260"/>
      <c r="AE92" s="9"/>
      <c r="AF92" s="9"/>
      <c r="AG92" s="9"/>
      <c r="AH92" s="9"/>
      <c r="AI92" s="9"/>
      <c r="AJ92" s="9"/>
      <c r="AK92" s="9"/>
      <c r="AL92" s="9"/>
      <c r="AM92" s="9"/>
      <c r="AN92" s="9"/>
      <c r="AO92" s="9"/>
      <c r="AP92" s="9"/>
      <c r="AQ92" s="9"/>
      <c r="AR92" s="9"/>
      <c r="AS92" s="9"/>
    </row>
    <row r="93" spans="1:50" ht="21" hidden="1" customHeight="1" x14ac:dyDescent="0.2">
      <c r="A93" s="9"/>
      <c r="J93" s="271"/>
      <c r="K93" s="271"/>
      <c r="L93" s="271"/>
      <c r="M93" s="271"/>
      <c r="N93" s="271"/>
      <c r="O93" s="154"/>
      <c r="P93" s="283"/>
      <c r="Q93" s="283"/>
      <c r="R93" s="283"/>
      <c r="T93" s="291"/>
      <c r="U93" s="291"/>
      <c r="V93" s="291"/>
      <c r="W93" s="291"/>
      <c r="X93" s="291"/>
      <c r="Y93" s="291"/>
      <c r="Z93" s="291"/>
      <c r="AA93" s="156"/>
      <c r="AB93" s="156"/>
      <c r="AC93" s="156"/>
      <c r="AE93" s="9"/>
      <c r="AF93" s="282" t="str">
        <f>IF(AX86=FALSE,"","～")</f>
        <v>～</v>
      </c>
      <c r="AG93" s="282"/>
      <c r="AH93" s="9"/>
      <c r="AI93" s="9"/>
      <c r="AJ93" s="9"/>
      <c r="AK93" s="9"/>
      <c r="AL93" s="9"/>
      <c r="AM93" s="9"/>
      <c r="AN93" s="9"/>
      <c r="AO93" s="9"/>
      <c r="AP93" s="9"/>
      <c r="AQ93" s="9"/>
      <c r="AR93" s="9"/>
      <c r="AS93" s="9"/>
    </row>
    <row r="94" spans="1:50" ht="13.5" hidden="1" customHeight="1" x14ac:dyDescent="0.2">
      <c r="A94" s="9"/>
      <c r="G94" s="282"/>
      <c r="H94" s="282"/>
      <c r="J94" s="110"/>
      <c r="K94" s="110"/>
      <c r="L94" s="110"/>
      <c r="M94" s="110"/>
      <c r="N94" s="110"/>
      <c r="O94" s="154"/>
      <c r="P94" s="111"/>
      <c r="Q94" s="111"/>
      <c r="R94" s="157"/>
      <c r="T94" s="112"/>
      <c r="U94" s="112"/>
      <c r="V94" s="112"/>
      <c r="W94" s="112"/>
      <c r="X94" s="112"/>
      <c r="Y94" s="112"/>
      <c r="Z94" s="112"/>
      <c r="AA94" s="167"/>
      <c r="AB94" s="161"/>
      <c r="AC94" s="161"/>
      <c r="AE94" s="9"/>
      <c r="AF94" s="9"/>
      <c r="AG94" s="9"/>
      <c r="AH94" s="9"/>
      <c r="AI94" s="9"/>
      <c r="AJ94" s="9"/>
      <c r="AK94" s="9"/>
      <c r="AL94" s="9"/>
      <c r="AM94" s="9"/>
      <c r="AN94" s="9"/>
      <c r="AO94" s="9"/>
      <c r="AP94" s="9"/>
      <c r="AQ94" s="9"/>
      <c r="AR94" s="9"/>
      <c r="AS94" s="9"/>
    </row>
    <row r="95" spans="1:50" ht="21" hidden="1" customHeight="1" x14ac:dyDescent="0.2">
      <c r="A95" s="9"/>
      <c r="J95" s="271"/>
      <c r="K95" s="271"/>
      <c r="L95" s="271"/>
      <c r="M95" s="271"/>
      <c r="N95" s="271"/>
      <c r="O95" s="154"/>
      <c r="P95" s="283"/>
      <c r="Q95" s="283"/>
      <c r="R95" s="283"/>
      <c r="T95" s="291"/>
      <c r="U95" s="291"/>
      <c r="V95" s="291"/>
      <c r="W95" s="291"/>
      <c r="X95" s="291"/>
      <c r="Y95" s="291"/>
      <c r="Z95" s="291"/>
      <c r="AA95" s="156"/>
      <c r="AB95" s="156"/>
      <c r="AC95" s="156"/>
      <c r="AE95" s="9"/>
      <c r="AF95" s="9"/>
      <c r="AG95" s="9"/>
      <c r="AH95" s="9"/>
      <c r="AI95" s="9"/>
      <c r="AJ95" s="9"/>
      <c r="AK95" s="9"/>
      <c r="AL95" s="9"/>
      <c r="AM95" s="9"/>
      <c r="AN95" s="9"/>
      <c r="AO95" s="9"/>
      <c r="AP95" s="9"/>
      <c r="AQ95" s="9"/>
      <c r="AR95" s="9"/>
      <c r="AS95" s="9"/>
    </row>
    <row r="96" spans="1:50" ht="12.75" hidden="1" customHeight="1" x14ac:dyDescent="0.2">
      <c r="A96" s="9"/>
      <c r="J96" s="154"/>
      <c r="K96" s="154"/>
      <c r="L96" s="154"/>
      <c r="M96" s="154"/>
      <c r="N96" s="154"/>
      <c r="O96" s="154"/>
      <c r="P96" s="157"/>
      <c r="Q96" s="157"/>
      <c r="R96" s="157"/>
      <c r="T96" s="152"/>
      <c r="U96" s="152"/>
      <c r="V96" s="152"/>
      <c r="W96" s="152"/>
      <c r="X96" s="152"/>
      <c r="Y96" s="152"/>
      <c r="Z96" s="152"/>
      <c r="AA96" s="166"/>
      <c r="AB96" s="166"/>
      <c r="AC96" s="166"/>
      <c r="AE96" s="9"/>
      <c r="AF96" s="9"/>
      <c r="AG96" s="9"/>
      <c r="AH96" s="9"/>
      <c r="AI96" s="9"/>
      <c r="AJ96" s="9"/>
      <c r="AK96" s="9"/>
      <c r="AL96" s="9"/>
      <c r="AM96" s="9"/>
      <c r="AN96" s="9"/>
      <c r="AO96" s="9"/>
      <c r="AP96" s="9"/>
      <c r="AQ96" s="9"/>
      <c r="AR96" s="9"/>
      <c r="AS96" s="9"/>
    </row>
    <row r="97" spans="1:51" ht="21" hidden="1" customHeight="1" x14ac:dyDescent="0.2">
      <c r="A97" s="9"/>
      <c r="J97" s="271"/>
      <c r="K97" s="271"/>
      <c r="L97" s="271"/>
      <c r="M97" s="271"/>
      <c r="N97" s="271"/>
      <c r="O97" s="151"/>
      <c r="P97" s="280"/>
      <c r="Q97" s="280"/>
      <c r="R97" s="280"/>
      <c r="T97" s="291"/>
      <c r="U97" s="291"/>
      <c r="V97" s="291"/>
      <c r="W97" s="291"/>
      <c r="X97" s="291"/>
      <c r="Y97" s="291"/>
      <c r="Z97" s="291"/>
      <c r="AA97" s="156"/>
      <c r="AB97" s="156"/>
      <c r="AC97" s="156"/>
      <c r="AE97" s="283" t="str">
        <f>IF(AX92=FALSE,"",IF(#REF!="","",$M$89/100))</f>
        <v/>
      </c>
      <c r="AF97" s="283"/>
      <c r="AG97" s="283"/>
      <c r="AH97" s="5" t="str">
        <f>IF(AX92=FALSE,"","=")</f>
        <v/>
      </c>
      <c r="AI97" s="291" t="str">
        <f>IF(AX92=FALSE,"",IF(ISERROR(ROUND(#REF!*AE97,0)),"",ROUND(#REF!*AE97,0)))</f>
        <v/>
      </c>
      <c r="AJ97" s="291"/>
      <c r="AK97" s="291"/>
      <c r="AL97" s="291"/>
      <c r="AM97" s="291"/>
      <c r="AN97" s="291"/>
      <c r="AO97" s="291"/>
      <c r="AP97" s="292" t="str">
        <f>IF(AX92=FALSE,"","下限額⑥")</f>
        <v/>
      </c>
      <c r="AQ97" s="292"/>
      <c r="AR97" s="292"/>
    </row>
    <row r="98" spans="1:51" ht="21" customHeight="1" x14ac:dyDescent="0.2">
      <c r="A98" s="9"/>
      <c r="J98" s="271">
        <f ca="1">IF(AX86=FALSE,"",IF(AX51=1,AF48,AF48))</f>
        <v>513000</v>
      </c>
      <c r="K98" s="271"/>
      <c r="L98" s="271"/>
      <c r="M98" s="271"/>
      <c r="N98" s="271"/>
      <c r="O98" s="154" t="str">
        <f>IF(AX86=FALSE,"","×")</f>
        <v>×</v>
      </c>
      <c r="P98" s="280">
        <f>IF(AX86=FALSE,"",IF(Q89="","",$Q$89/100))</f>
        <v>0.2</v>
      </c>
      <c r="Q98" s="280"/>
      <c r="R98" s="280"/>
      <c r="S98" s="5" t="str">
        <f>IF(AX86=FALSE,"","=")</f>
        <v>=</v>
      </c>
      <c r="T98" s="291">
        <f ca="1">IF(AX86=FALSE,"",IF(ISERROR(ROUND(J98*P98,0)),"",ROUND(J98*P98,0)))</f>
        <v>102600</v>
      </c>
      <c r="U98" s="291"/>
      <c r="V98" s="291"/>
      <c r="W98" s="291"/>
      <c r="X98" s="291"/>
      <c r="Y98" s="291"/>
      <c r="Z98" s="291"/>
      <c r="AA98" s="190" t="s">
        <v>24</v>
      </c>
      <c r="AB98" s="156"/>
      <c r="AC98" s="156"/>
      <c r="AE98" s="157"/>
      <c r="AF98" s="157"/>
      <c r="AG98" s="157"/>
      <c r="AI98" s="152"/>
      <c r="AJ98" s="152"/>
      <c r="AK98" s="152"/>
      <c r="AL98" s="152"/>
      <c r="AM98" s="152"/>
      <c r="AN98" s="152"/>
      <c r="AO98" s="152"/>
      <c r="AP98" s="156"/>
      <c r="AQ98" s="156"/>
      <c r="AR98" s="156"/>
    </row>
    <row r="99" spans="1:51" x14ac:dyDescent="0.2">
      <c r="A99" s="9"/>
      <c r="J99" s="154"/>
      <c r="K99" s="154"/>
      <c r="L99" s="154"/>
      <c r="M99" s="154"/>
      <c r="N99" s="154"/>
      <c r="O99" s="154"/>
      <c r="P99" s="157"/>
      <c r="Q99" s="157"/>
      <c r="R99" s="157"/>
      <c r="T99" s="152"/>
      <c r="U99" s="152"/>
      <c r="V99" s="152"/>
      <c r="W99" s="152"/>
      <c r="X99" s="152"/>
      <c r="Y99" s="152"/>
      <c r="Z99" s="152"/>
      <c r="AA99" s="50"/>
      <c r="AE99" s="157"/>
      <c r="AF99" s="157"/>
      <c r="AG99" s="157"/>
      <c r="AI99" s="152"/>
      <c r="AJ99" s="152"/>
      <c r="AK99" s="152"/>
      <c r="AL99" s="152"/>
      <c r="AM99" s="152"/>
      <c r="AN99" s="152"/>
      <c r="AO99" s="152"/>
      <c r="AP99" s="156"/>
      <c r="AQ99" s="156"/>
      <c r="AR99" s="156"/>
    </row>
    <row r="100" spans="1:51" hidden="1" x14ac:dyDescent="0.2">
      <c r="A100" s="9"/>
      <c r="P100" s="1"/>
      <c r="Y100" s="154"/>
      <c r="Z100" s="154"/>
      <c r="AA100" s="154"/>
      <c r="AB100" s="154"/>
      <c r="AC100" s="154"/>
      <c r="AD100" s="154"/>
      <c r="AE100" s="157"/>
      <c r="AF100" s="157"/>
      <c r="AG100" s="157"/>
      <c r="AI100" s="152"/>
      <c r="AJ100" s="152"/>
      <c r="AK100" s="152"/>
      <c r="AL100" s="152"/>
      <c r="AM100" s="152"/>
      <c r="AN100" s="152"/>
      <c r="AO100" s="152"/>
      <c r="AP100" s="156"/>
      <c r="AQ100" s="156"/>
      <c r="AR100" s="156"/>
    </row>
    <row r="101" spans="1:51" x14ac:dyDescent="0.2">
      <c r="A101" s="9"/>
      <c r="P101" s="1"/>
      <c r="T101" s="16"/>
    </row>
    <row r="102" spans="1:51" x14ac:dyDescent="0.2">
      <c r="A102" s="9"/>
      <c r="E102" s="117" t="s">
        <v>25</v>
      </c>
      <c r="M102" s="3"/>
      <c r="AX102" s="24" t="b">
        <v>1</v>
      </c>
    </row>
    <row r="103" spans="1:51" ht="28.5" customHeight="1" x14ac:dyDescent="0.2">
      <c r="A103" s="9"/>
      <c r="D103" s="297" t="s">
        <v>111</v>
      </c>
      <c r="E103" s="297"/>
      <c r="F103" s="297"/>
      <c r="G103" s="297"/>
      <c r="H103" s="297"/>
      <c r="I103" s="297"/>
      <c r="J103" s="297"/>
      <c r="K103" s="297"/>
      <c r="L103" s="297"/>
      <c r="M103" s="297"/>
      <c r="N103" s="297"/>
      <c r="O103" s="297"/>
      <c r="P103" s="297"/>
      <c r="Q103" s="297"/>
      <c r="R103" s="297"/>
      <c r="S103" s="297"/>
      <c r="T103" s="297"/>
      <c r="U103" s="297"/>
    </row>
    <row r="104" spans="1:51" hidden="1" x14ac:dyDescent="0.2">
      <c r="A104" s="9"/>
      <c r="D104" s="297"/>
      <c r="E104" s="297"/>
      <c r="F104" s="297"/>
      <c r="G104" s="297"/>
      <c r="H104" s="297"/>
      <c r="I104" s="297"/>
      <c r="J104" s="297"/>
      <c r="K104" s="297"/>
      <c r="L104" s="297"/>
      <c r="M104" s="297"/>
      <c r="N104" s="297"/>
      <c r="O104" s="297"/>
      <c r="P104" s="297"/>
      <c r="Q104" s="297"/>
      <c r="R104" s="297"/>
      <c r="S104" s="297"/>
      <c r="T104" s="297"/>
      <c r="U104" s="297"/>
    </row>
    <row r="105" spans="1:51" x14ac:dyDescent="0.2">
      <c r="A105" s="9"/>
      <c r="D105" s="124"/>
      <c r="E105" s="124"/>
      <c r="F105" s="124"/>
      <c r="G105" s="124"/>
      <c r="H105" s="124"/>
      <c r="I105" s="124"/>
      <c r="J105" s="124"/>
      <c r="K105" s="124"/>
      <c r="L105" s="124"/>
      <c r="M105" s="266"/>
      <c r="N105" s="266"/>
      <c r="O105" s="266"/>
      <c r="P105" s="45"/>
      <c r="Q105" s="266" t="s">
        <v>124</v>
      </c>
      <c r="R105" s="266"/>
      <c r="S105" s="266"/>
      <c r="T105" s="124"/>
      <c r="Y105" s="121"/>
      <c r="Z105" s="121"/>
      <c r="AA105" s="121"/>
      <c r="AB105" s="59"/>
      <c r="AC105" s="121"/>
      <c r="AD105" s="121"/>
      <c r="AE105" s="121"/>
      <c r="AX105" s="24">
        <v>1</v>
      </c>
      <c r="AY105" s="24" t="s">
        <v>98</v>
      </c>
    </row>
    <row r="106" spans="1:51" ht="16.5" x14ac:dyDescent="0.2">
      <c r="A106" s="9"/>
      <c r="G106" s="282"/>
      <c r="H106" s="282"/>
      <c r="J106" s="5" t="str">
        <f>IF(AX102=FALSE,"","時間単価")</f>
        <v>時間単価</v>
      </c>
      <c r="M106" s="273"/>
      <c r="N106" s="273"/>
      <c r="O106" s="273"/>
      <c r="P106" s="36"/>
      <c r="Q106" s="267">
        <f ca="1">IF(AX102=FALSE,"",INDEX(INDIRECT(VLOOKUP(AX5,AX105:AY114,2,FALSE)),2,2))</f>
        <v>2670</v>
      </c>
      <c r="R106" s="267"/>
      <c r="S106" s="267"/>
      <c r="T106" s="55"/>
      <c r="AX106" s="24">
        <v>2</v>
      </c>
      <c r="AY106" s="24" t="s">
        <v>99</v>
      </c>
    </row>
    <row r="107" spans="1:51" ht="5.25" customHeight="1" x14ac:dyDescent="0.2">
      <c r="A107" s="8"/>
      <c r="B107" s="8"/>
      <c r="C107" s="8"/>
      <c r="F107" s="117"/>
      <c r="G107" s="117"/>
      <c r="H107" s="117"/>
      <c r="P107" s="32"/>
      <c r="Q107" s="32"/>
      <c r="R107" s="172"/>
      <c r="S107" s="32"/>
      <c r="AX107" s="24">
        <v>3</v>
      </c>
      <c r="AY107" s="24" t="s">
        <v>100</v>
      </c>
    </row>
    <row r="108" spans="1:51" ht="16.5" x14ac:dyDescent="0.2">
      <c r="A108" s="8"/>
      <c r="B108" s="8"/>
      <c r="C108" s="8"/>
      <c r="J108" s="5" t="str">
        <f>IF(AX102=FALSE,"","キロ単価")</f>
        <v>キロ単価</v>
      </c>
      <c r="M108" s="273"/>
      <c r="N108" s="273"/>
      <c r="O108" s="273"/>
      <c r="P108" s="36"/>
      <c r="Q108" s="267">
        <f ca="1">IF(AX102=FALSE,"",INDEX(INDIRECT(VLOOKUP(AX5,AX105:AY114,2,FALSE)),1,2))</f>
        <v>40</v>
      </c>
      <c r="R108" s="267"/>
      <c r="S108" s="267"/>
      <c r="T108" s="8"/>
      <c r="X108" s="8"/>
      <c r="Y108" s="8"/>
      <c r="Z108" s="8"/>
      <c r="AA108" s="8"/>
      <c r="AB108" s="8"/>
      <c r="AC108" s="8"/>
      <c r="AD108" s="8"/>
      <c r="AH108" s="38"/>
      <c r="AX108" s="24">
        <v>4</v>
      </c>
      <c r="AY108" s="24" t="s">
        <v>101</v>
      </c>
    </row>
    <row r="109" spans="1:51" x14ac:dyDescent="0.2">
      <c r="N109" s="13"/>
      <c r="O109" s="13"/>
      <c r="P109" s="13"/>
      <c r="R109" s="159"/>
      <c r="S109" s="1"/>
      <c r="AJ109" s="13"/>
      <c r="AK109" s="13"/>
      <c r="AL109" s="13"/>
      <c r="AM109" s="13"/>
      <c r="AN109" s="13"/>
      <c r="AO109" s="13"/>
      <c r="AP109" s="13"/>
      <c r="AQ109" s="13"/>
      <c r="AR109" s="13"/>
      <c r="AT109" s="38"/>
      <c r="AX109" s="24">
        <v>5</v>
      </c>
      <c r="AY109" s="24" t="s">
        <v>102</v>
      </c>
    </row>
    <row r="110" spans="1:51" x14ac:dyDescent="0.2">
      <c r="J110" s="260" t="str">
        <f>IF(AX102=FALSE,"","時間単価")</f>
        <v>時間単価</v>
      </c>
      <c r="K110" s="260"/>
      <c r="L110" s="260"/>
      <c r="M110" s="260" t="str">
        <f>IF(AX102=FALSE,"","総拘束時間")</f>
        <v>総拘束時間</v>
      </c>
      <c r="N110" s="260"/>
      <c r="O110" s="260"/>
      <c r="P110" s="260"/>
      <c r="R110" s="260" t="str">
        <f>IF(AX102=FALSE,"","キロ単価")</f>
        <v>キロ単価</v>
      </c>
      <c r="S110" s="260"/>
      <c r="T110" s="260"/>
      <c r="U110" s="260"/>
      <c r="W110" s="260" t="str">
        <f>IF(AX102=FALSE,"","走行距離")</f>
        <v>走行距離</v>
      </c>
      <c r="X110" s="260"/>
      <c r="Y110" s="260"/>
      <c r="AJ110" s="1"/>
      <c r="AK110" s="1"/>
      <c r="AL110" s="1"/>
      <c r="AM110" s="1"/>
      <c r="AN110" s="1"/>
      <c r="AO110" s="1"/>
      <c r="AP110" s="1"/>
      <c r="AQ110" s="1"/>
      <c r="AR110" s="1"/>
      <c r="AX110" s="24">
        <v>6</v>
      </c>
      <c r="AY110" s="24" t="s">
        <v>103</v>
      </c>
    </row>
    <row r="111" spans="1:51" ht="21" hidden="1" customHeight="1" x14ac:dyDescent="0.2">
      <c r="J111" s="271"/>
      <c r="K111" s="271"/>
      <c r="L111" s="271"/>
      <c r="N111" s="272"/>
      <c r="O111" s="272"/>
      <c r="P111" s="272"/>
      <c r="R111" s="271"/>
      <c r="S111" s="271"/>
      <c r="T111" s="271"/>
      <c r="U111" s="271"/>
      <c r="W111" s="277"/>
      <c r="X111" s="277"/>
      <c r="Y111" s="277"/>
      <c r="AA111" s="271"/>
      <c r="AB111" s="271"/>
      <c r="AC111" s="271"/>
      <c r="AD111" s="271"/>
      <c r="AE111" s="271"/>
      <c r="AF111" s="271"/>
      <c r="AG111" s="271"/>
      <c r="AH111" s="8"/>
      <c r="AJ111" s="1"/>
      <c r="AK111" s="1"/>
      <c r="AL111" s="1"/>
      <c r="AM111" s="1"/>
      <c r="AN111" s="1"/>
      <c r="AO111" s="1"/>
      <c r="AP111" s="1"/>
      <c r="AQ111" s="1"/>
      <c r="AR111" s="1"/>
      <c r="AX111" s="24">
        <v>7</v>
      </c>
      <c r="AY111" s="24" t="s">
        <v>104</v>
      </c>
    </row>
    <row r="112" spans="1:51" x14ac:dyDescent="0.2">
      <c r="N112" s="13"/>
      <c r="O112" s="13"/>
      <c r="P112" s="13"/>
      <c r="R112" s="159"/>
      <c r="S112" s="1"/>
      <c r="AJ112" s="13"/>
      <c r="AK112" s="13"/>
      <c r="AL112" s="13"/>
      <c r="AM112" s="13"/>
      <c r="AN112" s="13"/>
      <c r="AO112" s="13"/>
      <c r="AP112" s="13"/>
      <c r="AQ112" s="13"/>
      <c r="AR112" s="13"/>
      <c r="AX112" s="24">
        <v>8</v>
      </c>
      <c r="AY112" s="24" t="s">
        <v>105</v>
      </c>
    </row>
    <row r="113" spans="2:56" x14ac:dyDescent="0.2">
      <c r="J113" s="271">
        <f ca="1">IF(AX102=FALSE,"",+$Q$106)</f>
        <v>2670</v>
      </c>
      <c r="K113" s="271"/>
      <c r="L113" s="271"/>
      <c r="M113" s="5" t="str">
        <f>IF(AX102=FALSE,"","×")</f>
        <v>×</v>
      </c>
      <c r="N113" s="272">
        <f>IF(AX102=FALSE,"",+AC33)</f>
        <v>50</v>
      </c>
      <c r="O113" s="272"/>
      <c r="P113" s="272"/>
      <c r="Q113" s="5" t="str">
        <f>IF(AX102=FALSE,"","＋")</f>
        <v>＋</v>
      </c>
      <c r="R113" s="271">
        <f ca="1">IF(AX102=FALSE,"",+Q108)</f>
        <v>40</v>
      </c>
      <c r="S113" s="271"/>
      <c r="T113" s="271"/>
      <c r="U113" s="271"/>
      <c r="V113" s="5" t="str">
        <f>IF(AX102=FALSE,"","×")</f>
        <v>×</v>
      </c>
      <c r="W113" s="277">
        <f>IF(AX102=FALSE,"",IF($T$39="",$N$39,$T$39))</f>
        <v>1900</v>
      </c>
      <c r="X113" s="277"/>
      <c r="Y113" s="277"/>
      <c r="Z113" s="5" t="str">
        <f>IF(AX102=FALSE,"","＝")</f>
        <v>＝</v>
      </c>
      <c r="AA113" s="271">
        <f ca="1">IF(AX102=FALSE,"",IF(OR($N$39=""),"",ROUND(+$J$113*$N$113,0)+ROUND($R$113*$W$113,0)))</f>
        <v>209500</v>
      </c>
      <c r="AB113" s="271"/>
      <c r="AC113" s="271"/>
      <c r="AD113" s="271"/>
      <c r="AE113" s="271"/>
      <c r="AF113" s="271"/>
      <c r="AG113" s="271"/>
      <c r="AH113" s="8" t="str">
        <f>IF(AX102=FALSE,"","交替運転者配置料金")</f>
        <v>交替運転者配置料金</v>
      </c>
      <c r="AJ113" s="13"/>
      <c r="AK113" s="13"/>
      <c r="AL113" s="13"/>
      <c r="AM113" s="13"/>
      <c r="AN113" s="13"/>
      <c r="AO113" s="13"/>
      <c r="AP113" s="13"/>
      <c r="AQ113" s="13"/>
      <c r="AR113" s="13"/>
      <c r="AX113" s="24">
        <v>9</v>
      </c>
      <c r="AY113" s="24" t="s">
        <v>107</v>
      </c>
    </row>
    <row r="114" spans="2:56" ht="19" x14ac:dyDescent="0.2">
      <c r="N114" s="6"/>
      <c r="O114" s="6"/>
      <c r="P114" s="6"/>
      <c r="R114" s="165"/>
      <c r="S114" s="11"/>
      <c r="AJ114" s="6"/>
      <c r="AK114" s="6"/>
      <c r="AL114" s="6"/>
      <c r="AM114" s="6"/>
      <c r="AN114" s="6"/>
      <c r="AO114" s="6"/>
      <c r="AP114" s="6"/>
      <c r="AQ114" s="6"/>
      <c r="AR114" s="6"/>
      <c r="AX114" s="24">
        <v>10</v>
      </c>
      <c r="AY114" s="24" t="s">
        <v>106</v>
      </c>
    </row>
    <row r="115" spans="2:56" hidden="1" x14ac:dyDescent="0.2">
      <c r="G115" s="38"/>
      <c r="H115" s="38"/>
      <c r="I115" s="38"/>
      <c r="J115" s="38"/>
      <c r="K115" s="38"/>
      <c r="R115" s="260"/>
      <c r="S115" s="260"/>
      <c r="T115" s="260"/>
      <c r="U115" s="260"/>
      <c r="V115" s="260"/>
      <c r="X115" s="260"/>
      <c r="Y115" s="260"/>
      <c r="Z115" s="260"/>
      <c r="AA115" s="260"/>
      <c r="AB115" s="260"/>
      <c r="AD115" s="260"/>
      <c r="AE115" s="260"/>
      <c r="AF115" s="260"/>
      <c r="AG115" s="260"/>
      <c r="AH115" s="260"/>
      <c r="AI115" s="260"/>
      <c r="AK115" s="260"/>
      <c r="AL115" s="260"/>
      <c r="AM115" s="260"/>
      <c r="AN115" s="260"/>
      <c r="AO115" s="260"/>
      <c r="AP115" s="260"/>
      <c r="AQ115" s="260"/>
    </row>
    <row r="116" spans="2:56" ht="13.5" hidden="1" customHeight="1" x14ac:dyDescent="0.2">
      <c r="B116" s="270"/>
      <c r="C116" s="270"/>
      <c r="D116" s="270"/>
      <c r="E116" s="270"/>
      <c r="F116" s="38"/>
      <c r="G116" s="38"/>
      <c r="H116" s="275"/>
      <c r="I116" s="275"/>
      <c r="J116" s="275"/>
      <c r="K116" s="275"/>
      <c r="L116" s="274"/>
      <c r="M116" s="274"/>
      <c r="N116" s="274"/>
      <c r="O116" s="274"/>
      <c r="P116" s="274"/>
      <c r="Q116" s="110"/>
      <c r="R116" s="260"/>
      <c r="S116" s="260"/>
      <c r="T116" s="260"/>
      <c r="U116" s="260"/>
      <c r="V116" s="260"/>
      <c r="X116" s="260"/>
      <c r="Y116" s="260"/>
      <c r="Z116" s="260"/>
      <c r="AA116" s="260"/>
      <c r="AB116" s="260"/>
      <c r="AD116" s="260"/>
      <c r="AE116" s="260"/>
      <c r="AF116" s="260"/>
      <c r="AG116" s="260"/>
      <c r="AH116" s="260"/>
      <c r="AI116" s="260"/>
      <c r="AK116" s="260"/>
      <c r="AL116" s="260"/>
      <c r="AM116" s="260"/>
      <c r="AN116" s="260"/>
      <c r="AO116" s="260"/>
      <c r="AP116" s="260"/>
      <c r="AQ116" s="260"/>
      <c r="AR116" s="110"/>
      <c r="AS116" s="110"/>
    </row>
    <row r="117" spans="2:56" ht="5.25" hidden="1" customHeight="1" x14ac:dyDescent="0.2">
      <c r="B117" s="270"/>
      <c r="C117" s="270"/>
      <c r="D117" s="270"/>
      <c r="E117" s="270"/>
      <c r="F117" s="107"/>
      <c r="G117" s="107"/>
      <c r="H117" s="107"/>
      <c r="I117" s="107"/>
      <c r="J117" s="107"/>
      <c r="K117" s="107"/>
    </row>
    <row r="118" spans="2:56" hidden="1" x14ac:dyDescent="0.2">
      <c r="F118" s="275"/>
      <c r="G118" s="275"/>
      <c r="H118" s="275"/>
      <c r="I118" s="275"/>
      <c r="J118" s="275"/>
      <c r="K118" s="275"/>
      <c r="L118" s="276"/>
      <c r="M118" s="276"/>
      <c r="N118" s="276"/>
      <c r="O118" s="276"/>
      <c r="P118" s="276"/>
      <c r="Q118" s="39"/>
      <c r="R118" s="260"/>
      <c r="S118" s="260"/>
      <c r="T118" s="260"/>
      <c r="U118" s="260"/>
      <c r="V118" s="260"/>
      <c r="X118" s="260"/>
      <c r="Y118" s="260"/>
      <c r="Z118" s="260"/>
      <c r="AA118" s="260"/>
      <c r="AB118" s="260"/>
      <c r="AC118" s="38"/>
      <c r="AD118" s="260"/>
      <c r="AE118" s="260"/>
      <c r="AF118" s="260"/>
      <c r="AG118" s="260"/>
      <c r="AH118" s="260"/>
      <c r="AI118" s="260"/>
      <c r="AJ118" s="38"/>
      <c r="AK118" s="260"/>
      <c r="AL118" s="260"/>
      <c r="AM118" s="260"/>
      <c r="AN118" s="260"/>
      <c r="AO118" s="260"/>
      <c r="AP118" s="260"/>
      <c r="AQ118" s="260"/>
      <c r="AR118" s="60"/>
      <c r="AS118" s="17"/>
      <c r="AX118" s="183"/>
    </row>
    <row r="119" spans="2:56" ht="5.25" hidden="1" customHeight="1" thickBot="1" x14ac:dyDescent="0.25">
      <c r="F119" s="107"/>
      <c r="G119" s="107"/>
      <c r="H119" s="107"/>
      <c r="I119" s="107"/>
      <c r="J119" s="107"/>
      <c r="K119" s="107"/>
      <c r="L119" s="61"/>
      <c r="M119" s="61"/>
      <c r="N119" s="61"/>
      <c r="O119" s="61"/>
      <c r="P119" s="61"/>
      <c r="AQ119" s="1"/>
    </row>
    <row r="120" spans="2:56" ht="6.75" hidden="1" customHeight="1" thickTop="1" x14ac:dyDescent="0.2">
      <c r="F120" s="257"/>
      <c r="G120" s="257"/>
      <c r="H120" s="257"/>
      <c r="I120" s="257"/>
      <c r="J120" s="257"/>
      <c r="K120" s="257"/>
      <c r="L120" s="295"/>
      <c r="M120" s="295"/>
      <c r="N120" s="295"/>
      <c r="O120" s="295"/>
      <c r="P120" s="295"/>
      <c r="R120" s="293"/>
      <c r="S120" s="293"/>
      <c r="T120" s="293"/>
      <c r="U120" s="293"/>
      <c r="V120" s="293"/>
      <c r="W120" s="186"/>
      <c r="X120" s="289"/>
      <c r="Y120" s="289"/>
      <c r="Z120" s="289"/>
      <c r="AA120" s="289"/>
      <c r="AB120" s="289"/>
      <c r="AC120" s="186"/>
      <c r="AD120" s="289"/>
      <c r="AE120" s="289"/>
      <c r="AF120" s="289"/>
      <c r="AG120" s="289"/>
      <c r="AH120" s="289"/>
      <c r="AI120" s="289"/>
      <c r="AJ120" s="186"/>
      <c r="AK120" s="289"/>
      <c r="AL120" s="289"/>
      <c r="AM120" s="289"/>
      <c r="AN120" s="289"/>
      <c r="AO120" s="289"/>
      <c r="AP120" s="289"/>
      <c r="AQ120" s="7"/>
    </row>
    <row r="121" spans="2:56" ht="13.5" hidden="1" customHeight="1" x14ac:dyDescent="0.2">
      <c r="F121" s="281"/>
      <c r="G121" s="281"/>
      <c r="H121" s="281"/>
      <c r="I121" s="281"/>
      <c r="J121" s="281"/>
      <c r="K121" s="281"/>
      <c r="L121" s="296"/>
      <c r="M121" s="296"/>
      <c r="N121" s="296"/>
      <c r="O121" s="296"/>
      <c r="P121" s="296"/>
      <c r="Q121" s="62"/>
      <c r="R121" s="294"/>
      <c r="S121" s="294"/>
      <c r="T121" s="294"/>
      <c r="U121" s="294"/>
      <c r="V121" s="294"/>
      <c r="W121" s="4"/>
      <c r="X121" s="290"/>
      <c r="Y121" s="290"/>
      <c r="Z121" s="290"/>
      <c r="AA121" s="290"/>
      <c r="AB121" s="290"/>
      <c r="AC121" s="4"/>
      <c r="AD121" s="290"/>
      <c r="AE121" s="290"/>
      <c r="AF121" s="290"/>
      <c r="AG121" s="290"/>
      <c r="AH121" s="290"/>
      <c r="AI121" s="290"/>
      <c r="AJ121" s="4"/>
      <c r="AK121" s="290"/>
      <c r="AL121" s="290"/>
      <c r="AM121" s="290"/>
      <c r="AN121" s="290"/>
      <c r="AO121" s="290"/>
      <c r="AP121" s="290"/>
      <c r="AQ121" s="4"/>
      <c r="AR121" s="64"/>
      <c r="AS121" s="65"/>
      <c r="AT121" s="65"/>
    </row>
    <row r="123" spans="2:56" x14ac:dyDescent="0.2">
      <c r="F123" s="38"/>
      <c r="G123" s="38"/>
      <c r="H123" s="38"/>
      <c r="I123" s="38"/>
      <c r="J123" s="38"/>
      <c r="K123" s="38"/>
      <c r="L123" s="38"/>
      <c r="M123" s="38"/>
      <c r="N123" s="38"/>
      <c r="O123" s="38"/>
      <c r="P123" s="38"/>
      <c r="Q123" s="38"/>
      <c r="R123" s="260"/>
      <c r="S123" s="260"/>
      <c r="T123" s="260"/>
      <c r="U123" s="260"/>
      <c r="V123" s="260"/>
      <c r="X123" s="260"/>
      <c r="Y123" s="260"/>
      <c r="Z123" s="260"/>
      <c r="AA123" s="260"/>
      <c r="AB123" s="260"/>
      <c r="AD123" s="260"/>
      <c r="AE123" s="260"/>
      <c r="AF123" s="260"/>
      <c r="AG123" s="260"/>
      <c r="AH123" s="260"/>
      <c r="AI123" s="260"/>
      <c r="AK123" s="260"/>
      <c r="AL123" s="260"/>
      <c r="AM123" s="260"/>
      <c r="AN123" s="260"/>
      <c r="AO123" s="260"/>
      <c r="AP123" s="260"/>
      <c r="AQ123" s="260"/>
      <c r="AV123" s="20"/>
      <c r="AW123" s="20"/>
      <c r="BB123" s="145"/>
    </row>
    <row r="124" spans="2:56" ht="13.5" customHeight="1" x14ac:dyDescent="0.2">
      <c r="B124" s="270" t="s">
        <v>121</v>
      </c>
      <c r="C124" s="270"/>
      <c r="D124" s="270"/>
      <c r="E124" s="270"/>
      <c r="F124" s="38"/>
      <c r="G124" s="38"/>
      <c r="H124" s="275" t="s">
        <v>42</v>
      </c>
      <c r="I124" s="275"/>
      <c r="J124" s="275"/>
      <c r="K124" s="275"/>
      <c r="L124" s="274">
        <f ca="1">IF(ISERROR(+R$128+X$128+AD$128+AK$128),"",+R$128+X$128+AD$128+AK$128)</f>
        <v>826698</v>
      </c>
      <c r="M124" s="274"/>
      <c r="N124" s="274"/>
      <c r="O124" s="274"/>
      <c r="P124" s="274"/>
      <c r="Q124" s="38"/>
      <c r="R124" s="260" t="s">
        <v>1</v>
      </c>
      <c r="S124" s="260"/>
      <c r="T124" s="260"/>
      <c r="U124" s="260"/>
      <c r="V124" s="260"/>
      <c r="W124" s="5" t="s">
        <v>97</v>
      </c>
      <c r="X124" s="260" t="s">
        <v>23</v>
      </c>
      <c r="Y124" s="260"/>
      <c r="Z124" s="260"/>
      <c r="AA124" s="260"/>
      <c r="AB124" s="260"/>
      <c r="AC124" s="5" t="s">
        <v>97</v>
      </c>
      <c r="AD124" s="260" t="s">
        <v>24</v>
      </c>
      <c r="AE124" s="260"/>
      <c r="AF124" s="260"/>
      <c r="AG124" s="260"/>
      <c r="AH124" s="260"/>
      <c r="AI124" s="260"/>
      <c r="AJ124" s="5" t="s">
        <v>97</v>
      </c>
      <c r="AK124" s="260" t="s">
        <v>25</v>
      </c>
      <c r="AL124" s="260"/>
      <c r="AM124" s="260"/>
      <c r="AN124" s="260"/>
      <c r="AO124" s="260"/>
      <c r="AP124" s="260"/>
      <c r="AQ124" s="260"/>
      <c r="AR124" s="110"/>
      <c r="AS124" s="110"/>
      <c r="AT124" s="110"/>
      <c r="AU124" s="110"/>
      <c r="AV124" s="119"/>
      <c r="AW124" s="119"/>
      <c r="AY124" s="184"/>
      <c r="AZ124" s="184"/>
      <c r="BA124" s="184"/>
      <c r="BB124" s="184"/>
    </row>
    <row r="125" spans="2:56" ht="5.25" customHeight="1" x14ac:dyDescent="0.2">
      <c r="B125" s="270"/>
      <c r="C125" s="270"/>
      <c r="D125" s="270"/>
      <c r="E125" s="270"/>
      <c r="F125" s="107"/>
      <c r="G125" s="107"/>
      <c r="H125" s="107"/>
      <c r="I125" s="107"/>
      <c r="J125" s="107"/>
      <c r="K125" s="107"/>
      <c r="Q125" s="107"/>
      <c r="R125" s="260"/>
      <c r="S125" s="260"/>
      <c r="T125" s="260"/>
      <c r="U125" s="260"/>
      <c r="V125" s="260"/>
      <c r="X125" s="260"/>
      <c r="Y125" s="260"/>
      <c r="Z125" s="260"/>
      <c r="AA125" s="260"/>
      <c r="AB125" s="260"/>
      <c r="AD125" s="260"/>
      <c r="AE125" s="260"/>
      <c r="AF125" s="260"/>
      <c r="AG125" s="260"/>
      <c r="AH125" s="260"/>
      <c r="AI125" s="260"/>
      <c r="AK125" s="260"/>
      <c r="AL125" s="260"/>
      <c r="AM125" s="260"/>
      <c r="AN125" s="260"/>
      <c r="AO125" s="260"/>
      <c r="AP125" s="260"/>
      <c r="AQ125" s="260"/>
    </row>
    <row r="126" spans="2:56" x14ac:dyDescent="0.2">
      <c r="F126" s="275" t="s">
        <v>41</v>
      </c>
      <c r="G126" s="275"/>
      <c r="H126" s="275"/>
      <c r="I126" s="275"/>
      <c r="J126" s="275"/>
      <c r="K126" s="275"/>
      <c r="L126" s="276">
        <f ca="1">IF(ISERROR(ROUND(+L124*0.1,0)),"",ROUND(+L124*0.1,0))</f>
        <v>82670</v>
      </c>
      <c r="M126" s="276"/>
      <c r="N126" s="276"/>
      <c r="O126" s="276"/>
      <c r="P126" s="276"/>
      <c r="Q126" s="107"/>
      <c r="R126" s="260"/>
      <c r="S126" s="260"/>
      <c r="T126" s="260"/>
      <c r="U126" s="260"/>
      <c r="V126" s="260"/>
      <c r="X126" s="260"/>
      <c r="Y126" s="260"/>
      <c r="Z126" s="260"/>
      <c r="AA126" s="260"/>
      <c r="AB126" s="260"/>
      <c r="AC126" s="38"/>
      <c r="AD126" s="260"/>
      <c r="AE126" s="260"/>
      <c r="AF126" s="260"/>
      <c r="AG126" s="260"/>
      <c r="AH126" s="260"/>
      <c r="AI126" s="260"/>
      <c r="AK126" s="260"/>
      <c r="AL126" s="260"/>
      <c r="AM126" s="260"/>
      <c r="AN126" s="260"/>
      <c r="AO126" s="260"/>
      <c r="AP126" s="260"/>
      <c r="AQ126" s="260"/>
      <c r="AR126" s="39"/>
      <c r="AS126" s="17"/>
      <c r="AT126" s="17"/>
      <c r="AU126" s="17"/>
      <c r="AV126" s="22"/>
      <c r="AW126" s="22"/>
      <c r="AX126" s="183"/>
      <c r="AY126" s="183"/>
      <c r="AZ126" s="183"/>
      <c r="BA126" s="183"/>
      <c r="BB126" s="183"/>
      <c r="BC126" s="183"/>
      <c r="BD126" s="183"/>
    </row>
    <row r="127" spans="2:56" ht="5.25" customHeight="1" thickBot="1" x14ac:dyDescent="0.25">
      <c r="F127" s="107"/>
      <c r="G127" s="107"/>
      <c r="H127" s="107"/>
      <c r="I127" s="107"/>
      <c r="J127" s="107"/>
      <c r="K127" s="107"/>
      <c r="L127" s="61"/>
      <c r="M127" s="61"/>
      <c r="N127" s="61"/>
      <c r="O127" s="61"/>
      <c r="P127" s="61"/>
      <c r="Q127" s="107"/>
      <c r="AQ127" s="1"/>
    </row>
    <row r="128" spans="2:56" ht="6.75" customHeight="1" thickTop="1" x14ac:dyDescent="0.2">
      <c r="F128" s="257" t="s">
        <v>43</v>
      </c>
      <c r="G128" s="257"/>
      <c r="H128" s="257"/>
      <c r="I128" s="257"/>
      <c r="J128" s="257"/>
      <c r="K128" s="257"/>
      <c r="L128" s="295">
        <f ca="1">IF(ISERROR(+L124+L126),"",+L124+L126)</f>
        <v>909368</v>
      </c>
      <c r="M128" s="295"/>
      <c r="N128" s="295"/>
      <c r="O128" s="295"/>
      <c r="P128" s="295"/>
      <c r="Q128" s="105"/>
      <c r="R128" s="293">
        <f ca="1">$AF$48</f>
        <v>513000</v>
      </c>
      <c r="S128" s="293"/>
      <c r="T128" s="293"/>
      <c r="U128" s="293"/>
      <c r="V128" s="293"/>
      <c r="W128" s="186" t="s">
        <v>14</v>
      </c>
      <c r="X128" s="289">
        <f ca="1">IF(AQ33=0,0,AI69)</f>
        <v>1598</v>
      </c>
      <c r="Y128" s="289"/>
      <c r="Z128" s="289"/>
      <c r="AA128" s="289"/>
      <c r="AB128" s="289"/>
      <c r="AC128" s="186" t="s">
        <v>14</v>
      </c>
      <c r="AD128" s="289">
        <f ca="1">IF(AX86=FALSE,0,T98)</f>
        <v>102600</v>
      </c>
      <c r="AE128" s="289"/>
      <c r="AF128" s="289"/>
      <c r="AG128" s="289"/>
      <c r="AH128" s="289"/>
      <c r="AI128" s="289"/>
      <c r="AJ128" s="186" t="s">
        <v>14</v>
      </c>
      <c r="AK128" s="289">
        <f ca="1">IF(AX102=FALSE,0,AA113)</f>
        <v>209500</v>
      </c>
      <c r="AL128" s="289"/>
      <c r="AM128" s="289"/>
      <c r="AN128" s="289"/>
      <c r="AO128" s="289"/>
      <c r="AP128" s="289"/>
      <c r="AQ128" s="38"/>
    </row>
    <row r="129" spans="2:50" ht="13.5" customHeight="1" x14ac:dyDescent="0.2">
      <c r="F129" s="281"/>
      <c r="G129" s="281"/>
      <c r="H129" s="281"/>
      <c r="I129" s="281"/>
      <c r="J129" s="281"/>
      <c r="K129" s="281"/>
      <c r="L129" s="296"/>
      <c r="M129" s="296"/>
      <c r="N129" s="296"/>
      <c r="O129" s="296"/>
      <c r="P129" s="296"/>
      <c r="Q129" s="106"/>
      <c r="R129" s="294"/>
      <c r="S129" s="294"/>
      <c r="T129" s="294"/>
      <c r="U129" s="294"/>
      <c r="V129" s="294"/>
      <c r="W129" s="187"/>
      <c r="X129" s="290"/>
      <c r="Y129" s="290"/>
      <c r="Z129" s="290"/>
      <c r="AA129" s="290"/>
      <c r="AB129" s="290"/>
      <c r="AC129" s="187"/>
      <c r="AD129" s="290"/>
      <c r="AE129" s="290"/>
      <c r="AF129" s="290"/>
      <c r="AG129" s="290"/>
      <c r="AH129" s="290"/>
      <c r="AI129" s="290"/>
      <c r="AJ129" s="187"/>
      <c r="AK129" s="290"/>
      <c r="AL129" s="290"/>
      <c r="AM129" s="290"/>
      <c r="AN129" s="290"/>
      <c r="AO129" s="290"/>
      <c r="AP129" s="290"/>
      <c r="AQ129" s="64"/>
      <c r="AR129" s="8"/>
    </row>
    <row r="130" spans="2:50" x14ac:dyDescent="0.2"/>
    <row r="131" spans="2:50" ht="21.75" customHeight="1" x14ac:dyDescent="0.2">
      <c r="B131" s="66" t="str">
        <f ca="1">IF(L128="","","この運送の下限額は、")</f>
        <v>この運送の下限額は、</v>
      </c>
      <c r="C131" s="67"/>
      <c r="D131" s="67"/>
      <c r="E131" s="51"/>
      <c r="F131" s="51"/>
      <c r="G131" s="67"/>
      <c r="H131" s="67"/>
      <c r="I131" s="67"/>
      <c r="J131" s="51"/>
      <c r="K131" s="269">
        <f ca="1">IF(L128="","",L128)</f>
        <v>909368</v>
      </c>
      <c r="L131" s="269"/>
      <c r="M131" s="269"/>
      <c r="N131" s="269"/>
      <c r="O131" s="269"/>
      <c r="P131" s="269"/>
      <c r="Q131" s="130"/>
      <c r="R131" s="192" t="str">
        <f ca="1">IF(L128="","","です。")</f>
        <v>です。</v>
      </c>
      <c r="S131" s="67"/>
      <c r="T131" s="67"/>
      <c r="U131" s="67"/>
      <c r="V131" s="67"/>
      <c r="W131" s="269"/>
      <c r="X131" s="269"/>
      <c r="Y131" s="269"/>
      <c r="Z131" s="269"/>
      <c r="AA131" s="269"/>
      <c r="AB131" s="269"/>
      <c r="AC131" s="66"/>
      <c r="AD131" s="67"/>
      <c r="AE131" s="67"/>
      <c r="AF131" s="67"/>
      <c r="AG131" s="67"/>
      <c r="AH131" s="68"/>
      <c r="AI131" s="68"/>
      <c r="AJ131" s="68"/>
      <c r="AK131" s="68"/>
      <c r="AL131" s="68"/>
      <c r="AM131" s="68"/>
      <c r="AN131" s="68"/>
      <c r="AO131" s="68"/>
      <c r="AP131" s="68"/>
      <c r="AQ131" s="68"/>
      <c r="AR131" s="68"/>
      <c r="AS131" s="68"/>
      <c r="AT131" s="68"/>
      <c r="AU131" s="68"/>
    </row>
    <row r="132" spans="2:50" ht="21" customHeight="1" x14ac:dyDescent="0.2">
      <c r="B132" s="252" t="str">
        <f ca="1">IF(L128="","","実際の運賃・料金がこの下限額を下回っている場合は、運賃料金の届出に違反しているおそれがあります。")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row>
    <row r="133" spans="2:50" ht="13.5" hidden="1" customHeight="1" x14ac:dyDescent="0.2">
      <c r="B133" s="68"/>
      <c r="C133" s="68"/>
      <c r="D133" s="68"/>
      <c r="E133" s="68"/>
      <c r="F133" s="68"/>
      <c r="G133" s="68"/>
      <c r="H133" s="68"/>
      <c r="I133" s="68"/>
      <c r="J133" s="68"/>
      <c r="K133" s="68"/>
      <c r="L133" s="68"/>
      <c r="M133" s="68"/>
      <c r="N133" s="68"/>
      <c r="O133" s="68"/>
      <c r="P133" s="68"/>
      <c r="Q133" s="68"/>
      <c r="R133" s="173"/>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50" ht="13.5" hidden="1" customHeight="1" x14ac:dyDescent="0.2">
      <c r="B134" s="68"/>
      <c r="C134" s="68"/>
      <c r="D134" s="68"/>
      <c r="E134" s="68"/>
      <c r="F134" s="68"/>
      <c r="G134" s="68"/>
      <c r="H134" s="68"/>
      <c r="I134" s="68"/>
      <c r="J134" s="68"/>
      <c r="K134" s="68"/>
      <c r="L134" s="68"/>
      <c r="M134" s="68"/>
      <c r="N134" s="68"/>
      <c r="O134" s="68"/>
      <c r="P134" s="68"/>
      <c r="Q134" s="68"/>
      <c r="R134" s="173"/>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50" ht="39.75" hidden="1" customHeight="1" x14ac:dyDescent="0.2"/>
  </sheetData>
  <sheetProtection algorithmName="SHA-512" hashValue="GzXr2CxjyB0HHTXO3FN1AdWPHUCduN8duMm7ZuMgx90qWH2zIK503+PLhx570oBfYrOd1/PN+HoRwuoTJwbIOg==" saltValue="3dzDnYSfOAh2efnfNfU2/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K124:AQ124"/>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AK115:AQ115"/>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D126:AI126"/>
    <mergeCell ref="AK120:AP121"/>
    <mergeCell ref="L116:P116"/>
    <mergeCell ref="Q106:S106"/>
    <mergeCell ref="P97:R97"/>
    <mergeCell ref="P98:R98"/>
    <mergeCell ref="T98:Z98"/>
    <mergeCell ref="AE97:AG97"/>
    <mergeCell ref="AI97:AO97"/>
    <mergeCell ref="AP97:AR97"/>
    <mergeCell ref="T97:Z97"/>
    <mergeCell ref="AD115:AI115"/>
    <mergeCell ref="R113:U113"/>
    <mergeCell ref="W113:Y113"/>
    <mergeCell ref="AA113:AG113"/>
    <mergeCell ref="R120:V121"/>
    <mergeCell ref="X120:AB121"/>
    <mergeCell ref="AD120:AI121"/>
    <mergeCell ref="J98:N98"/>
    <mergeCell ref="AJ59:AN59"/>
    <mergeCell ref="AG59:AH59"/>
    <mergeCell ref="Q52:T52"/>
    <mergeCell ref="M58:N58"/>
    <mergeCell ref="Q58:R58"/>
    <mergeCell ref="H67:M67"/>
    <mergeCell ref="D69:M69"/>
    <mergeCell ref="H61:J61"/>
    <mergeCell ref="AB59:AE59"/>
    <mergeCell ref="V61:Z61"/>
    <mergeCell ref="S61:T61"/>
    <mergeCell ref="N61:Q61"/>
    <mergeCell ref="AB61:AF61"/>
    <mergeCell ref="L52:O52"/>
    <mergeCell ref="V65:Z65"/>
    <mergeCell ref="N65:Q65"/>
    <mergeCell ref="AB65:AF65"/>
    <mergeCell ref="H74:J74"/>
    <mergeCell ref="D76:J76"/>
    <mergeCell ref="N74:Q74"/>
    <mergeCell ref="S74:T74"/>
    <mergeCell ref="P95:R95"/>
    <mergeCell ref="T95:Z95"/>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K45:M45"/>
    <mergeCell ref="Y46:AB46"/>
    <mergeCell ref="O46:Q46"/>
    <mergeCell ref="Y45:AB45"/>
    <mergeCell ref="U46:W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O48:Q48"/>
    <mergeCell ref="P27:Q27"/>
    <mergeCell ref="T27:U27"/>
    <mergeCell ref="AB27:AC27"/>
    <mergeCell ref="Y48:AB48"/>
    <mergeCell ref="N37:P37"/>
    <mergeCell ref="N36:P36"/>
    <mergeCell ref="R37:T37"/>
    <mergeCell ref="V32:AJ32"/>
    <mergeCell ref="AF48:AK48"/>
    <mergeCell ref="AF46:AK46"/>
    <mergeCell ref="K48:M48"/>
    <mergeCell ref="I50:K51"/>
    <mergeCell ref="U48:W48"/>
    <mergeCell ref="V52:Z52"/>
    <mergeCell ref="AB53:AG53"/>
    <mergeCell ref="Q50:T50"/>
    <mergeCell ref="L51:O51"/>
    <mergeCell ref="Q51:T51"/>
    <mergeCell ref="V51:Z51"/>
    <mergeCell ref="L50:O50"/>
    <mergeCell ref="V74:Z74"/>
    <mergeCell ref="V67:Z67"/>
    <mergeCell ref="V69:Z69"/>
    <mergeCell ref="AB74:AF74"/>
    <mergeCell ref="S69:T69"/>
    <mergeCell ref="N71:Q71"/>
    <mergeCell ref="S71:T71"/>
    <mergeCell ref="V71:Z71"/>
    <mergeCell ref="AB71:AF71"/>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G94:H94"/>
    <mergeCell ref="J95:N95"/>
    <mergeCell ref="J97:N97"/>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L124:P124"/>
    <mergeCell ref="F126:K126"/>
    <mergeCell ref="P25:Q25"/>
    <mergeCell ref="T25:U25"/>
    <mergeCell ref="AJ13:AL13"/>
    <mergeCell ref="AJ15:AL15"/>
    <mergeCell ref="P13:Q13"/>
    <mergeCell ref="AJ17:AL17"/>
    <mergeCell ref="AB23:AC23"/>
    <mergeCell ref="P23:Q23"/>
    <mergeCell ref="V28:AJ28"/>
    <mergeCell ref="AF23:AG23"/>
    <mergeCell ref="AJ23:AL23"/>
    <mergeCell ref="V26:AJ26"/>
    <mergeCell ref="V20:AJ20"/>
    <mergeCell ref="T21:U21"/>
    <mergeCell ref="AB21:AC21"/>
    <mergeCell ref="AF21:AG21"/>
    <mergeCell ref="AJ21:AL21"/>
    <mergeCell ref="P19:Q19"/>
    <mergeCell ref="T19:U19"/>
    <mergeCell ref="AB19:AC19"/>
    <mergeCell ref="AF19:AG19"/>
    <mergeCell ref="P17:Q17"/>
    <mergeCell ref="T17:U17"/>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D1:AA2"/>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N7:AV7"/>
    <mergeCell ref="N8:AV8"/>
    <mergeCell ref="B132:AX132"/>
    <mergeCell ref="AQ25:AR25"/>
    <mergeCell ref="P21:Q21"/>
    <mergeCell ref="AJ12:AR12"/>
    <mergeCell ref="AQ17:AR17"/>
    <mergeCell ref="AC33:AE33"/>
    <mergeCell ref="AF27:AG27"/>
    <mergeCell ref="AJ27:AL27"/>
    <mergeCell ref="BF2:BK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s>
  <phoneticPr fontId="2"/>
  <conditionalFormatting sqref="M89 Q89">
    <cfRule type="expression" dxfId="37" priority="9">
      <formula>$AX$86=FALSE</formula>
    </cfRule>
    <cfRule type="expression" dxfId="36" priority="10">
      <formula>$AX$86=FALSE</formula>
    </cfRule>
  </conditionalFormatting>
  <conditionalFormatting sqref="M58:N58 Q58:R58">
    <cfRule type="expression" dxfId="35" priority="14">
      <formula>$AQ$33=0</formula>
    </cfRule>
  </conditionalFormatting>
  <conditionalFormatting sqref="S65:T65 S71:T71">
    <cfRule type="cellIs" dxfId="34" priority="2" operator="equal">
      <formula>0</formula>
    </cfRule>
  </conditionalFormatting>
  <conditionalFormatting sqref="AN63:AN64 AN69 AN72:AN84">
    <cfRule type="expression" dxfId="33" priority="12">
      <formula>$AQ$33=0</formula>
    </cfRule>
  </conditionalFormatting>
  <dataValidations count="38">
    <dataValidation type="whole" allowBlank="1" showInputMessage="1" showErrorMessage="1" errorTitle="警告" error="上限額と下限額の範囲内で設定してください！" sqref="BL33" xr:uid="{00000000-0002-0000-0100-000000000000}">
      <formula1>BO13</formula1>
      <formula2>BM13</formula2>
    </dataValidation>
    <dataValidation type="whole" allowBlank="1" showInputMessage="1" showErrorMessage="1" errorTitle="範囲外で設定されています！" error="上限額と下限額の範囲内で設定してください！" sqref="AM109" xr:uid="{00000000-0002-0000-0100-000001000000}">
      <formula1>CO109</formula1>
      <formula2>CM109</formula2>
    </dataValidation>
    <dataValidation type="whole" allowBlank="1" showInputMessage="1" showErrorMessage="1" errorTitle="範囲外で設定されています！" error="上限額と下限額の範囲内で設定してください！" sqref="AG10:AG11" xr:uid="{00000000-0002-0000-0100-000002000000}">
      <formula1>BX10</formula1>
      <formula2>BV10</formula2>
    </dataValidation>
    <dataValidation type="whole" allowBlank="1" showInputMessage="1" showErrorMessage="1" errorTitle="範囲外で設定されています！" error="上限額と下限額の範囲内で設定してください！" sqref="AF10:AF11" xr:uid="{00000000-0002-0000-0100-000003000000}">
      <formula1>BX10</formula1>
      <formula2>BV10</formula2>
    </dataValidation>
    <dataValidation type="whole" allowBlank="1" showInputMessage="1" showErrorMessage="1" errorTitle="範囲外で設定されています！" error="上限額と下限額の範囲内で設定してください！" sqref="AE10:AE11" xr:uid="{00000000-0002-0000-0100-000004000000}">
      <formula1>BX10</formula1>
      <formula2>BV10</formula2>
    </dataValidation>
    <dataValidation type="whole" allowBlank="1" showInputMessage="1" showErrorMessage="1" errorTitle="範囲外で設定されています！" error="上限額と下限額の範囲内で設定してください！" sqref="AD10:AD11" xr:uid="{00000000-0002-0000-0100-000005000000}">
      <formula1>BX10</formula1>
      <formula2>BV10</formula2>
    </dataValidation>
    <dataValidation type="whole" allowBlank="1" showInputMessage="1" showErrorMessage="1" errorTitle="範囲外で設定されています！" error="上限額と下限額の範囲内で設定してください！" sqref="AC10:AC11" xr:uid="{00000000-0002-0000-0100-000006000000}">
      <formula1>BX10</formula1>
      <formula2>BV10</formula2>
    </dataValidation>
    <dataValidation type="whole" allowBlank="1" showInputMessage="1" showErrorMessage="1" errorTitle="範囲外で設定されています！" error="上限額と下限額の範囲内で設定してください！" sqref="AB10:AB11" xr:uid="{00000000-0002-0000-0100-000007000000}">
      <formula1>BX10</formula1>
      <formula2>BV10</formula2>
    </dataValidation>
    <dataValidation type="whole" allowBlank="1" showInputMessage="1" showErrorMessage="1" errorTitle="範囲外で設定されています！" error="上限額と下限額の範囲内で設定してください！" sqref="AR109" xr:uid="{00000000-0002-0000-0100-000008000000}">
      <formula1>CO109</formula1>
      <formula2>CM109</formula2>
    </dataValidation>
    <dataValidation type="whole" allowBlank="1" showInputMessage="1" showErrorMessage="1" errorTitle="範囲外で設定されています！" error="上限額と下限額の範囲内で設定してください！" sqref="V10:Y11 AP109" xr:uid="{00000000-0002-0000-0100-000009000000}">
      <formula1>BU10</formula1>
      <formula2>BS10</formula2>
    </dataValidation>
    <dataValidation type="whole" allowBlank="1" showInputMessage="1" showErrorMessage="1" errorTitle="範囲外で設定されています！" error="上限額と下限額の範囲内で設定してください！" sqref="Z10:Z11 AQ109" xr:uid="{00000000-0002-0000-0100-00000A000000}">
      <formula1>BX10</formula1>
      <formula2>BV10</formula2>
    </dataValidation>
    <dataValidation type="whole" allowBlank="1" showInputMessage="1" showErrorMessage="1" errorTitle="範囲外で設定されています！" error="上限額と下限額の範囲内で設定してください！" sqref="AK10:AK11" xr:uid="{00000000-0002-0000-0100-00000B000000}">
      <formula1>U10</formula1>
      <formula2>Q10</formula2>
    </dataValidation>
    <dataValidation type="whole" allowBlank="1" showInputMessage="1" showErrorMessage="1" errorTitle="範囲外で設定されています！" error="上限額と下限額の範囲内で設定してください！" sqref="AJ10:AJ11" xr:uid="{00000000-0002-0000-0100-00000C000000}">
      <formula1>U10</formula1>
      <formula2>Q10</formula2>
    </dataValidation>
    <dataValidation type="whole" allowBlank="1" showInputMessage="1" showErrorMessage="1" errorTitle="範囲外で設定されています！" error="上限額と下限額の範囲内で設定してください！" sqref="S109" xr:uid="{00000000-0002-0000-0100-00000D000000}">
      <formula1>T106</formula1>
      <formula2>P106</formula2>
    </dataValidation>
    <dataValidation type="whole" allowBlank="1" showInputMessage="1" showErrorMessage="1" errorTitle="範囲外で設定されています！" error="上限額と下限額の範囲内で設定してください！" sqref="R109" xr:uid="{00000000-0002-0000-0100-00000E000000}">
      <formula1>T106</formula1>
      <formula2>P106</formula2>
    </dataValidation>
    <dataValidation type="whole" allowBlank="1" showInputMessage="1" showErrorMessage="1" errorTitle="範囲外で設定されています！" error="上限額と下限額の範囲内で設定してください！" sqref="P109" xr:uid="{00000000-0002-0000-0100-00000F000000}">
      <formula1>T106</formula1>
      <formula2>P106</formula2>
    </dataValidation>
    <dataValidation type="whole" allowBlank="1" showInputMessage="1" showErrorMessage="1" errorTitle="範囲外で設定されています！" error="上限額と下限額の範囲内で設定してください！" sqref="N109" xr:uid="{00000000-0002-0000-0100-000010000000}">
      <formula1>T106</formula1>
      <formula2>P106</formula2>
    </dataValidation>
    <dataValidation type="whole" allowBlank="1" showInputMessage="1" showErrorMessage="1" errorTitle="範囲外で設定されています！" error="上限額と下限額の範囲内で設定してください！" sqref="S114" xr:uid="{00000000-0002-0000-0100-000011000000}">
      <formula1>AF110</formula1>
      <formula2>AB110</formula2>
    </dataValidation>
    <dataValidation type="whole" allowBlank="1" showInputMessage="1" showErrorMessage="1" errorTitle="範囲外で設定されています！" error="上限額と下限額の範囲内で設定してください！" sqref="R114" xr:uid="{00000000-0002-0000-0100-000012000000}">
      <formula1>AF110</formula1>
      <formula2>AB110</formula2>
    </dataValidation>
    <dataValidation type="whole" allowBlank="1" showInputMessage="1" showErrorMessage="1" errorTitle="範囲外で設定されています！" error="上限額と下限額の範囲内で設定してください！" sqref="AO109" xr:uid="{00000000-0002-0000-0100-000013000000}">
      <formula1>CO109</formula1>
      <formula2>CM109</formula2>
    </dataValidation>
    <dataValidation type="whole" allowBlank="1" showInputMessage="1" showErrorMessage="1" errorTitle="範囲外で設定されています！" error="上限額と下限額の範囲内で設定してください！" sqref="AN109" xr:uid="{00000000-0002-0000-0100-000014000000}">
      <formula1>CO109</formula1>
      <formula2>CM109</formula2>
    </dataValidation>
    <dataValidation type="whole" allowBlank="1" showInputMessage="1" showErrorMessage="1" errorTitle="範囲外で設定されています！" error="上限額と下限額の範囲内で設定してください！" sqref="AJ109:AK109" xr:uid="{00000000-0002-0000-0100-000015000000}">
      <formula1>CN109</formula1>
      <formula2>CL109</formula2>
    </dataValidation>
    <dataValidation type="whole" allowBlank="1" showInputMessage="1" showErrorMessage="1" errorTitle="範囲外で設定されています！" error="上限額と下限額の範囲内で設定してください！" sqref="AL109" xr:uid="{00000000-0002-0000-0100-000016000000}">
      <formula1>CO109</formula1>
      <formula2>CM109</formula2>
    </dataValidation>
    <dataValidation type="whole" allowBlank="1" showInputMessage="1" showErrorMessage="1" errorTitle="範囲外で設定されています！" error="上限額と下限額の範囲内で設定してください！" sqref="O109" xr:uid="{00000000-0002-0000-0100-000017000000}">
      <formula1>CO109</formula1>
      <formula2>CM109</formula2>
    </dataValidation>
    <dataValidation type="whole" allowBlank="1" showInputMessage="1" showErrorMessage="1" errorTitle="警告" error="上限額と下限額の範囲内で設定してください！" sqref="BA36" xr:uid="{00000000-0002-0000-0100-000018000000}">
      <formula1>BO14</formula1>
      <formula2>#REF!</formula2>
    </dataValidation>
    <dataValidation type="whole" allowBlank="1" showInputMessage="1" showErrorMessage="1" errorTitle="範囲外で設定されています！" error="上限額と下限額の範囲内で設定してください！" sqref="AX38" xr:uid="{00000000-0002-0000-0100-000019000000}">
      <formula1>T37</formula1>
      <formula2>BN38</formula2>
    </dataValidation>
    <dataValidation type="whole" allowBlank="1" showInputMessage="1" showErrorMessage="1" errorTitle="範囲外で設定されています！" error="上限額と下限額の範囲内で設定してください！" sqref="AV38:AW38" xr:uid="{00000000-0002-0000-0100-00001A000000}">
      <formula1>T37</formula1>
      <formula2>BN38</formula2>
    </dataValidation>
    <dataValidation type="whole" allowBlank="1" showInputMessage="1" showErrorMessage="1" errorTitle="警告" error="上限額と下限額の範囲内で設定してください！" sqref="BL34" xr:uid="{00000000-0002-0000-0100-00001B000000}">
      <formula1>BO13</formula1>
      <formula2>#REF!</formula2>
    </dataValidation>
    <dataValidation type="whole" allowBlank="1" showInputMessage="1" showErrorMessage="1" errorTitle="警告" error="上限額と下限額の範囲内で設定してください！" sqref="BA35" xr:uid="{00000000-0002-0000-0100-00001C000000}">
      <formula1>BO14</formula1>
      <formula2>#REF!</formula2>
    </dataValidation>
    <dataValidation type="whole" allowBlank="1" showInputMessage="1" showErrorMessage="1" errorTitle="範囲外で設定されています！" error="上限額と下限額の範囲内で設定してください！" sqref="S112" xr:uid="{00000000-0002-0000-0100-00001D000000}">
      <formula1>T108</formula1>
      <formula2>P108</formula2>
    </dataValidation>
    <dataValidation type="whole" allowBlank="1" showInputMessage="1" showErrorMessage="1" errorTitle="範囲外で設定されています！" error="上限額と下限額の範囲内で設定してください！" sqref="R112" xr:uid="{00000000-0002-0000-0100-00001E000000}">
      <formula1>T108</formula1>
      <formula2>P108</formula2>
    </dataValidation>
    <dataValidation type="whole" operator="lessThanOrEqual" allowBlank="1" showInputMessage="1" showErrorMessage="1" errorTitle="５０％以内です！" error="割増率は５０％以内です！" sqref="M89 Q89" xr:uid="{00000000-0002-0000-0100-00001F000000}">
      <formula1>50</formula1>
    </dataValidation>
    <dataValidation type="whole" operator="lessThanOrEqual" allowBlank="1" showInputMessage="1" showErrorMessage="1" errorTitle="２０％以内です！" error="割増率は２０％以内です！" sqref="M60 M58 Q58" xr:uid="{00000000-0002-0000-0100-000020000000}">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3 AV33:AX33" xr:uid="{00000000-0002-0000-0100-000022000000}">
      <formula1>3</formula1>
    </dataValidation>
    <dataValidation type="whole" operator="greaterThanOrEqual" allowBlank="1" showInputMessage="1" showErrorMessage="1" errorTitle="最低３時間です！" error="３時間未満の場合は、3時間となります！" sqref="BQ15:BQ16 BQ33:BQ34 BF35:BF36"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L17:BL32" xr:uid="{00000000-0002-0000-0100-000025000000}">
      <formula1>BO12</formula1>
      <formula2>BM12</formula2>
    </dataValidation>
  </dataValidations>
  <pageMargins left="0.70866141732283472" right="0.23" top="0.39370078740157483" bottom="0.23622047244094491" header="0.31496062992125984" footer="0.23622047244094491"/>
  <pageSetup paperSize="9" scale="1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120650</xdr:colOff>
                    <xdr:row>5</xdr:row>
                    <xdr:rowOff>69850</xdr:rowOff>
                  </from>
                  <to>
                    <xdr:col>9</xdr:col>
                    <xdr:colOff>31750</xdr:colOff>
                    <xdr:row>5</xdr:row>
                    <xdr:rowOff>241300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69850</xdr:colOff>
                    <xdr:row>5</xdr:row>
                    <xdr:rowOff>63500</xdr:rowOff>
                  </from>
                  <to>
                    <xdr:col>12</xdr:col>
                    <xdr:colOff>165100</xdr:colOff>
                    <xdr:row>5</xdr:row>
                    <xdr:rowOff>241300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31750</xdr:colOff>
                    <xdr:row>39</xdr:row>
                    <xdr:rowOff>127000</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13</xdr:col>
                    <xdr:colOff>203200</xdr:colOff>
                    <xdr:row>5</xdr:row>
                    <xdr:rowOff>82550</xdr:rowOff>
                  </from>
                  <to>
                    <xdr:col>16</xdr:col>
                    <xdr:colOff>88900</xdr:colOff>
                    <xdr:row>5</xdr:row>
                    <xdr:rowOff>254000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88900</xdr:colOff>
                    <xdr:row>4</xdr:row>
                    <xdr:rowOff>95250</xdr:rowOff>
                  </from>
                  <to>
                    <xdr:col>29</xdr:col>
                    <xdr:colOff>38100</xdr:colOff>
                    <xdr:row>6</xdr:row>
                    <xdr:rowOff>69850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50800</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31750</xdr:colOff>
                    <xdr:row>86</xdr:row>
                    <xdr:rowOff>50800</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12700</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17</xdr:col>
                    <xdr:colOff>203200</xdr:colOff>
                    <xdr:row>5</xdr:row>
                    <xdr:rowOff>69850</xdr:rowOff>
                  </from>
                  <to>
                    <xdr:col>19</xdr:col>
                    <xdr:colOff>190500</xdr:colOff>
                    <xdr:row>5</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Q127"/>
  <sheetViews>
    <sheetView showGridLines="0" tabSelected="1" view="pageBreakPreview" zoomScale="70" zoomScaleNormal="90" zoomScaleSheetLayoutView="70" workbookViewId="0">
      <selection activeCell="R4" sqref="R4"/>
    </sheetView>
  </sheetViews>
  <sheetFormatPr defaultColWidth="5.26953125" defaultRowHeight="13.5" customHeight="1" zeroHeight="1" x14ac:dyDescent="0.2"/>
  <cols>
    <col min="1" max="2" width="4" style="5" customWidth="1"/>
    <col min="3" max="7" width="3.6328125" style="5" customWidth="1"/>
    <col min="8" max="9" width="3.08984375" style="5" customWidth="1"/>
    <col min="10" max="15" width="3.6328125" style="5" customWidth="1"/>
    <col min="16" max="17" width="2.6328125" style="5" customWidth="1"/>
    <col min="18" max="18" width="2.90625" style="5" customWidth="1"/>
    <col min="19" max="19" width="4" style="5" customWidth="1"/>
    <col min="20" max="20" width="2.7265625" style="5" customWidth="1"/>
    <col min="21" max="21" width="3.453125" style="5" customWidth="1"/>
    <col min="22" max="22" width="3.6328125" style="5" customWidth="1"/>
    <col min="23" max="24" width="3.0898437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39" width="2.6328125" style="5" customWidth="1"/>
    <col min="40" max="40" width="7" style="5" bestFit="1" customWidth="1"/>
    <col min="41" max="42" width="2.7265625" style="5" customWidth="1"/>
    <col min="43" max="44" width="3.08984375" style="5" customWidth="1"/>
    <col min="45" max="45" width="3.6328125" style="5" customWidth="1"/>
    <col min="46" max="48" width="3.90625" style="5" customWidth="1"/>
    <col min="49" max="49" width="3.90625" style="24" customWidth="1"/>
    <col min="50" max="50" width="3.90625" style="24" hidden="1" customWidth="1"/>
    <col min="51" max="54" width="0" style="24" hidden="1" customWidth="1"/>
    <col min="55" max="99" width="0" style="31" hidden="1" customWidth="1"/>
    <col min="100" max="16384" width="5.26953125" style="31"/>
  </cols>
  <sheetData>
    <row r="1" spans="1:95" ht="6.75" customHeight="1" thickBot="1" x14ac:dyDescent="0.25">
      <c r="D1" s="301" t="s">
        <v>92</v>
      </c>
      <c r="E1" s="301"/>
      <c r="F1" s="301"/>
      <c r="G1" s="301"/>
      <c r="H1" s="301"/>
      <c r="I1" s="301"/>
      <c r="J1" s="301"/>
      <c r="K1" s="301"/>
      <c r="L1" s="301"/>
      <c r="M1" s="301"/>
      <c r="N1" s="301"/>
      <c r="O1" s="301"/>
      <c r="P1" s="301"/>
      <c r="Q1" s="301"/>
      <c r="R1" s="301"/>
      <c r="S1" s="301"/>
      <c r="T1" s="301"/>
      <c r="U1" s="301"/>
      <c r="V1" s="301"/>
      <c r="W1" s="301"/>
      <c r="X1" s="301"/>
      <c r="Y1" s="301"/>
      <c r="Z1" s="301"/>
      <c r="AA1" s="301"/>
    </row>
    <row r="2" spans="1:95" ht="21" customHeight="1" thickBot="1" x14ac:dyDescent="0.25">
      <c r="D2" s="301"/>
      <c r="E2" s="301"/>
      <c r="F2" s="301"/>
      <c r="G2" s="301"/>
      <c r="H2" s="301"/>
      <c r="I2" s="301"/>
      <c r="J2" s="301"/>
      <c r="K2" s="301"/>
      <c r="L2" s="301"/>
      <c r="M2" s="301"/>
      <c r="N2" s="301"/>
      <c r="O2" s="301"/>
      <c r="P2" s="301"/>
      <c r="Q2" s="301"/>
      <c r="R2" s="301"/>
      <c r="S2" s="301"/>
      <c r="T2" s="301"/>
      <c r="U2" s="301"/>
      <c r="V2" s="301"/>
      <c r="W2" s="301"/>
      <c r="X2" s="301"/>
      <c r="Y2" s="301"/>
      <c r="Z2" s="301"/>
      <c r="AA2" s="301"/>
      <c r="AB2" s="25"/>
      <c r="AC2" s="26"/>
      <c r="AD2" s="27"/>
      <c r="AE2" s="28"/>
      <c r="AF2" s="103" t="s">
        <v>112</v>
      </c>
      <c r="AG2" s="29"/>
      <c r="AH2" s="29"/>
      <c r="AI2" s="29"/>
      <c r="AJ2" s="29"/>
      <c r="AK2" s="29"/>
      <c r="AL2" s="29"/>
      <c r="AM2" s="29"/>
      <c r="AN2" s="29"/>
      <c r="AO2" s="95"/>
      <c r="BH2" s="302"/>
      <c r="BI2" s="302"/>
      <c r="BJ2" s="302"/>
      <c r="BK2" s="302"/>
      <c r="BL2" s="302"/>
      <c r="BM2" s="302"/>
    </row>
    <row r="3" spans="1:95" ht="21" customHeight="1" x14ac:dyDescent="0.2">
      <c r="D3" s="219"/>
      <c r="E3" s="219"/>
      <c r="F3" s="219"/>
      <c r="G3" s="219"/>
      <c r="H3" s="219"/>
      <c r="I3" s="219"/>
      <c r="J3" s="219"/>
      <c r="K3" s="219"/>
      <c r="L3" s="219"/>
      <c r="M3" s="219"/>
      <c r="N3" s="219"/>
      <c r="O3" s="219"/>
      <c r="P3" s="219"/>
      <c r="Q3" s="219"/>
      <c r="R3" s="219"/>
      <c r="S3" s="219"/>
      <c r="T3" s="219"/>
      <c r="U3" s="219"/>
      <c r="V3" s="219"/>
      <c r="W3" s="219"/>
      <c r="X3" s="219"/>
      <c r="Y3" s="219"/>
      <c r="Z3" s="219"/>
      <c r="AA3" s="219"/>
      <c r="AB3" s="25"/>
      <c r="AC3" s="30"/>
      <c r="AD3" s="30"/>
      <c r="AE3" s="30"/>
      <c r="AF3" s="29"/>
      <c r="AG3" s="29"/>
      <c r="AH3" s="29"/>
      <c r="AI3" s="29"/>
      <c r="AJ3" s="29"/>
      <c r="AK3" s="29"/>
      <c r="AL3" s="29"/>
      <c r="AM3" s="29"/>
      <c r="AN3" s="29"/>
      <c r="AO3" s="95"/>
      <c r="BH3" s="218"/>
      <c r="BI3" s="218"/>
      <c r="BJ3" s="218"/>
      <c r="BK3" s="218"/>
      <c r="BL3" s="218"/>
      <c r="BM3" s="218"/>
    </row>
    <row r="4" spans="1:95" ht="21" customHeight="1" x14ac:dyDescent="0.2">
      <c r="C4" s="5" t="s">
        <v>76</v>
      </c>
      <c r="D4" s="219"/>
      <c r="E4" s="219"/>
      <c r="F4" s="219"/>
      <c r="G4" s="219"/>
      <c r="H4" s="219"/>
      <c r="I4" s="219"/>
      <c r="J4" s="219"/>
      <c r="K4" s="219"/>
      <c r="L4" s="219"/>
      <c r="M4" s="96"/>
      <c r="N4" s="96"/>
      <c r="O4" s="96"/>
      <c r="Q4" s="96"/>
      <c r="R4" s="219"/>
      <c r="S4" s="219"/>
      <c r="T4" s="219"/>
      <c r="U4" s="219"/>
      <c r="V4" s="219"/>
      <c r="W4" s="219"/>
      <c r="X4" s="219"/>
      <c r="Y4" s="219"/>
      <c r="Z4" s="219"/>
      <c r="AA4" s="219"/>
      <c r="AB4" s="25"/>
      <c r="AC4" s="30"/>
      <c r="AD4" s="30"/>
      <c r="AE4" s="30"/>
      <c r="AF4" s="29"/>
      <c r="AG4" s="29"/>
      <c r="AH4" s="29"/>
      <c r="AI4" s="29"/>
      <c r="AJ4" s="29"/>
      <c r="AK4" s="29"/>
      <c r="AL4" s="29"/>
      <c r="AM4" s="29"/>
      <c r="AN4" s="29"/>
      <c r="AO4" s="95"/>
      <c r="BH4" s="218"/>
      <c r="BI4" s="218"/>
      <c r="BJ4" s="218"/>
      <c r="BK4" s="218"/>
      <c r="BL4" s="218"/>
      <c r="BM4" s="218"/>
    </row>
    <row r="5" spans="1:95" ht="25.5" x14ac:dyDescent="0.2">
      <c r="BC5" s="31">
        <v>1</v>
      </c>
      <c r="BD5" s="136" t="str">
        <f>VLOOKUP($BC$5,$BR$40:$BS$49,2,FALSE)</f>
        <v>北海道</v>
      </c>
    </row>
    <row r="6" spans="1:95" ht="23.25" customHeight="1" x14ac:dyDescent="0.2">
      <c r="D6" s="251" t="s">
        <v>0</v>
      </c>
      <c r="E6" s="33"/>
      <c r="G6" s="122"/>
      <c r="H6" s="122"/>
      <c r="I6" s="193"/>
      <c r="J6" s="193"/>
      <c r="K6" s="193"/>
      <c r="L6" s="193"/>
      <c r="M6" s="193"/>
      <c r="N6" s="193"/>
      <c r="O6" s="193"/>
      <c r="P6" s="193"/>
      <c r="Q6" s="193"/>
      <c r="R6" s="193"/>
      <c r="S6" s="193"/>
      <c r="T6" s="193"/>
      <c r="V6" s="10"/>
      <c r="W6" s="10"/>
      <c r="Y6" s="10"/>
      <c r="Z6" s="31"/>
      <c r="AA6" s="10"/>
      <c r="AC6" s="95" t="s">
        <v>90</v>
      </c>
      <c r="AD6" s="10"/>
      <c r="AE6" s="10"/>
      <c r="AF6" s="10"/>
      <c r="AG6" s="10"/>
      <c r="AI6" s="10"/>
      <c r="AJ6" s="10"/>
      <c r="AK6" s="10"/>
      <c r="AL6" s="10"/>
      <c r="AM6" s="10"/>
      <c r="AN6" s="10"/>
      <c r="AO6" s="10"/>
      <c r="AP6" s="10"/>
      <c r="AQ6" s="10"/>
      <c r="AR6" s="10"/>
      <c r="AS6" s="10"/>
      <c r="AT6" s="10"/>
      <c r="AU6" s="10"/>
      <c r="AV6" s="10"/>
      <c r="AW6" s="143"/>
      <c r="AX6" s="143"/>
      <c r="AY6" s="143"/>
      <c r="AZ6" s="143"/>
      <c r="BA6" s="143"/>
      <c r="BB6" s="143"/>
      <c r="BC6" s="69"/>
      <c r="BD6" s="69"/>
      <c r="BE6" s="69"/>
      <c r="BG6" s="215"/>
      <c r="BH6" s="215"/>
      <c r="BI6" s="215"/>
      <c r="BK6" s="215"/>
      <c r="BY6" s="303"/>
      <c r="BZ6" s="303"/>
      <c r="CA6" s="303"/>
      <c r="CK6" s="304" t="s">
        <v>54</v>
      </c>
      <c r="CL6" s="304"/>
      <c r="CM6" s="304"/>
      <c r="CN6" s="305">
        <v>8.3333333333333329E-2</v>
      </c>
      <c r="CO6" s="305"/>
      <c r="CP6" s="305"/>
      <c r="CQ6" s="97"/>
    </row>
    <row r="7" spans="1:95" s="5" customFormat="1" ht="18.75" customHeight="1" x14ac:dyDescent="0.2">
      <c r="R7" s="244"/>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3"/>
      <c r="AX7" s="143"/>
      <c r="AY7" s="143"/>
      <c r="AZ7" s="143"/>
      <c r="BA7" s="143"/>
      <c r="BB7" s="143"/>
      <c r="BC7" s="143"/>
      <c r="BD7" s="143"/>
      <c r="BE7" s="143"/>
      <c r="BF7" s="24"/>
      <c r="BG7" s="24"/>
      <c r="BH7" s="24"/>
      <c r="BI7" s="24"/>
      <c r="BJ7" s="24"/>
    </row>
    <row r="8" spans="1:95" s="5" customFormat="1" ht="18.75" customHeight="1" x14ac:dyDescent="0.2">
      <c r="R8" s="244"/>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3"/>
      <c r="AX8" s="143"/>
      <c r="AY8" s="143"/>
      <c r="AZ8" s="143"/>
      <c r="BA8" s="143"/>
      <c r="BB8" s="143"/>
      <c r="BC8" s="143"/>
      <c r="BD8" s="143"/>
      <c r="BE8" s="143"/>
      <c r="BF8" s="24"/>
      <c r="BG8" s="24"/>
      <c r="BH8" s="24"/>
      <c r="BI8" s="24"/>
      <c r="BJ8" s="24"/>
    </row>
    <row r="9" spans="1:95" ht="9" customHeight="1" x14ac:dyDescent="0.2">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3"/>
      <c r="AX9" s="143"/>
      <c r="AY9" s="143"/>
      <c r="AZ9" s="143"/>
      <c r="BA9" s="143"/>
      <c r="BB9" s="143"/>
      <c r="BC9" s="69"/>
      <c r="BD9" s="69"/>
      <c r="BE9" s="69"/>
    </row>
    <row r="10" spans="1:95" ht="15.75" customHeight="1" x14ac:dyDescent="0.2">
      <c r="B10" s="306" t="s">
        <v>31</v>
      </c>
      <c r="C10" s="306"/>
      <c r="D10" s="306"/>
      <c r="E10" s="35"/>
      <c r="F10" s="35"/>
      <c r="M10" s="70"/>
      <c r="O10" s="266"/>
      <c r="P10" s="266"/>
      <c r="Q10" s="266"/>
      <c r="R10" s="59"/>
      <c r="S10" s="266" t="s">
        <v>7</v>
      </c>
      <c r="T10" s="266"/>
      <c r="U10" s="266"/>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5" ht="19.5" customHeight="1" x14ac:dyDescent="0.2">
      <c r="B11" s="306"/>
      <c r="C11" s="306"/>
      <c r="D11" s="306"/>
      <c r="E11" s="35"/>
      <c r="F11" s="35"/>
      <c r="G11" s="5" t="s">
        <v>19</v>
      </c>
      <c r="I11" s="199"/>
      <c r="J11" s="260" t="s">
        <v>12</v>
      </c>
      <c r="K11" s="260"/>
      <c r="L11" s="263"/>
      <c r="M11" s="71"/>
      <c r="N11" s="307">
        <f ca="1">VLOOKUP($BC$12,INDIRECT(BD5),3)</f>
        <v>0</v>
      </c>
      <c r="O11" s="307"/>
      <c r="P11" s="307"/>
      <c r="Q11" s="307"/>
      <c r="R11" s="199" t="s">
        <v>127</v>
      </c>
      <c r="S11" s="308">
        <f ca="1">VLOOKUP($BC$12,INDIRECT(BD5),4)</f>
        <v>4010</v>
      </c>
      <c r="T11" s="308"/>
      <c r="U11" s="308"/>
      <c r="V11" s="308"/>
      <c r="W11" s="6"/>
      <c r="X11" s="6"/>
      <c r="Y11" s="6"/>
      <c r="Z11" s="6"/>
      <c r="AA11" s="6"/>
      <c r="AC11" s="6"/>
      <c r="AD11" s="6"/>
      <c r="AE11" s="6"/>
      <c r="AF11" s="6"/>
      <c r="AG11" s="6"/>
      <c r="AH11" s="6"/>
      <c r="AK11" s="11"/>
      <c r="AL11" s="11"/>
      <c r="AR11" s="8"/>
      <c r="AS11" s="8"/>
      <c r="AT11" s="8"/>
      <c r="AU11" s="8"/>
      <c r="AV11" s="8"/>
      <c r="AW11" s="31"/>
      <c r="AX11" s="31"/>
      <c r="AY11" s="31"/>
      <c r="AZ11" s="31"/>
      <c r="BA11" s="31"/>
      <c r="BB11" s="31"/>
      <c r="CC11" s="305">
        <v>1</v>
      </c>
      <c r="CD11" s="305"/>
      <c r="CE11" s="305"/>
    </row>
    <row r="12" spans="1:95" ht="27" customHeight="1" thickBot="1" x14ac:dyDescent="0.25">
      <c r="A12" s="8"/>
      <c r="B12" s="8"/>
      <c r="C12" s="8"/>
      <c r="F12" s="316" t="s">
        <v>50</v>
      </c>
      <c r="G12" s="260"/>
      <c r="H12" s="260"/>
      <c r="I12" s="260"/>
      <c r="J12" s="260"/>
      <c r="K12" s="38"/>
      <c r="L12" s="38"/>
      <c r="M12" s="260" t="s">
        <v>44</v>
      </c>
      <c r="N12" s="260"/>
      <c r="O12" s="260"/>
      <c r="P12" s="317" t="s">
        <v>55</v>
      </c>
      <c r="Q12" s="317"/>
      <c r="R12" s="317"/>
      <c r="S12" s="317"/>
      <c r="T12" s="317"/>
      <c r="U12" s="275" t="s">
        <v>57</v>
      </c>
      <c r="V12" s="275"/>
      <c r="W12" s="275"/>
      <c r="X12" s="38"/>
      <c r="Y12" s="38"/>
      <c r="Z12" s="316" t="s">
        <v>51</v>
      </c>
      <c r="AA12" s="316"/>
      <c r="AB12" s="316"/>
      <c r="AC12" s="316"/>
      <c r="AD12" s="316"/>
      <c r="AE12" s="316"/>
      <c r="AF12" s="260" t="s">
        <v>49</v>
      </c>
      <c r="AG12" s="260"/>
      <c r="AH12" s="260"/>
      <c r="AI12" s="260"/>
      <c r="AJ12" s="260"/>
      <c r="AL12" s="13" t="s">
        <v>37</v>
      </c>
      <c r="AT12" s="39"/>
      <c r="AU12" s="73"/>
      <c r="BC12" s="31">
        <v>4</v>
      </c>
      <c r="BP12" s="304" t="s">
        <v>49</v>
      </c>
      <c r="BQ12" s="304"/>
      <c r="BR12" s="304"/>
      <c r="BS12" s="304"/>
      <c r="BT12" s="304"/>
      <c r="BU12" s="304"/>
      <c r="BV12" s="304"/>
      <c r="BW12" s="304"/>
      <c r="BY12" s="304" t="s">
        <v>53</v>
      </c>
      <c r="BZ12" s="304"/>
      <c r="CA12" s="304"/>
      <c r="CC12" s="31" t="s">
        <v>52</v>
      </c>
      <c r="CF12" s="304" t="s">
        <v>44</v>
      </c>
      <c r="CG12" s="304"/>
      <c r="CH12" s="304"/>
      <c r="CJ12" s="304" t="s">
        <v>45</v>
      </c>
      <c r="CK12" s="304"/>
      <c r="CL12" s="304"/>
    </row>
    <row r="13" spans="1:95" ht="18.75" customHeight="1" thickBot="1" x14ac:dyDescent="0.25">
      <c r="A13" s="309">
        <v>0</v>
      </c>
      <c r="B13" s="309"/>
      <c r="C13" s="309"/>
      <c r="D13" s="7" t="s">
        <v>27</v>
      </c>
      <c r="E13" s="74"/>
      <c r="G13" s="310">
        <f>IF(AND($L13="",$O13=""),"",IF($L13=0,TIME(23,$O13,0),TIME($L13-1,$O13,0)))</f>
        <v>0.33333333333333331</v>
      </c>
      <c r="H13" s="310"/>
      <c r="I13" s="310"/>
      <c r="J13" s="260" t="s">
        <v>39</v>
      </c>
      <c r="K13" s="260"/>
      <c r="L13" s="311">
        <v>9</v>
      </c>
      <c r="M13" s="312"/>
      <c r="N13" s="5" t="s">
        <v>46</v>
      </c>
      <c r="O13" s="313">
        <v>0</v>
      </c>
      <c r="P13" s="314"/>
      <c r="Q13" s="38" t="s">
        <v>21</v>
      </c>
      <c r="R13" s="260" t="s">
        <v>39</v>
      </c>
      <c r="S13" s="260"/>
      <c r="T13" s="311">
        <v>15</v>
      </c>
      <c r="U13" s="312"/>
      <c r="V13" s="5" t="s">
        <v>46</v>
      </c>
      <c r="W13" s="313">
        <v>0</v>
      </c>
      <c r="X13" s="314"/>
      <c r="Y13" s="38" t="s">
        <v>21</v>
      </c>
      <c r="Z13" s="260" t="s">
        <v>39</v>
      </c>
      <c r="AA13" s="260"/>
      <c r="AB13" s="310">
        <f>IF(AND($T13="",$W13=""),"",TIME(T13+1,W13,0))</f>
        <v>0.66666666666666663</v>
      </c>
      <c r="AC13" s="310"/>
      <c r="AD13" s="310"/>
      <c r="AE13" s="214"/>
      <c r="AF13" s="325">
        <f>IF(OR($G13="",$AB13=""),0,IF(OR($BP13&gt;20,AND($BP13=20,$BR13&gt;0)),"20時間を",IF($BR13=0,IF($BP13=0,0,IF($BP13&gt;5,$BP13,5)),IF($BP13&lt;5,5,$BP13))))</f>
        <v>8</v>
      </c>
      <c r="AG13" s="325"/>
      <c r="AH13" s="325"/>
      <c r="AI13" s="326">
        <f>IF(OR($G13="",AB13=""),0,IF($AF13="20時間を","超えています",IF($BP13&lt;5,0,$BR13)))</f>
        <v>0</v>
      </c>
      <c r="AJ13" s="326"/>
      <c r="AK13" s="326"/>
      <c r="AL13" s="326"/>
      <c r="AM13" s="75" t="s">
        <v>47</v>
      </c>
      <c r="AN13" s="327">
        <f>IF(AF13="20時間を",0,IF(OR($G13="",$AB13=""),0,HOUR($CC13)))</f>
        <v>0</v>
      </c>
      <c r="AO13" s="327"/>
      <c r="AP13" s="327"/>
      <c r="AQ13" s="328">
        <f>IF(AF13="20時間を",0,IF(OR($G13="",AB13=""),0,MINUTE($CC13)))</f>
        <v>0</v>
      </c>
      <c r="AR13" s="328"/>
      <c r="AS13" s="38" t="s">
        <v>48</v>
      </c>
      <c r="AT13" s="76"/>
      <c r="AU13" s="76"/>
      <c r="AV13" s="38"/>
      <c r="BP13" s="323">
        <f>IF(CJ13=CF13,26,HOUR(BY13)+2)</f>
        <v>8</v>
      </c>
      <c r="BQ13" s="323"/>
      <c r="BR13" s="324">
        <f>MINUTE(BU13)</f>
        <v>0</v>
      </c>
      <c r="BS13" s="324"/>
      <c r="BT13" s="211" t="s">
        <v>30</v>
      </c>
      <c r="BU13" s="305">
        <f>+BY13+$CN$6</f>
        <v>0.33333333333333331</v>
      </c>
      <c r="BV13" s="305"/>
      <c r="BW13" s="305"/>
      <c r="BX13" s="211"/>
      <c r="BY13" s="305">
        <f>CN13-CF13</f>
        <v>0.25</v>
      </c>
      <c r="BZ13" s="305"/>
      <c r="CA13" s="305"/>
      <c r="CC13" s="315">
        <f>BU13-(IF($AB13&gt;$G13,IF($G13&lt;$A$17,IF($AB13&lt;=$A$17,0,IF($AB13&lt;$A$16,$AB13-$A$17,$A$16-$A$17)),IF($G13&lt;$A$16,IF($AB13&lt;$A$16,$AB13-$G13,$A$16-$G13),0)),IF($G13&gt;=$A$16,IF($AB13&lt;$A$17,0,IF($AB13&lt;$A$16,$AB13-$A$17,$A$16-$A$17)),IF($G13&gt;$A$17,IF($AB13&lt;$A$17,$A$16-$G13,($A$16-$G13)+($AB13-$A$17)),$A$16-$A$17))))</f>
        <v>0</v>
      </c>
      <c r="CD13" s="315"/>
      <c r="CF13" s="315">
        <f>IF(AND(L13="",O13=""),"",TIME($L13,$O13,0))</f>
        <v>0.375</v>
      </c>
      <c r="CG13" s="315"/>
      <c r="CH13" s="315"/>
      <c r="CJ13" s="315">
        <f>IF(AND(T13="",W13=""),"",TIME($T13,$W13,0))</f>
        <v>0.625</v>
      </c>
      <c r="CK13" s="315"/>
      <c r="CL13" s="315"/>
      <c r="CN13" s="305">
        <f>IF(CF13&gt;=CJ13,CJ13+$CC$11,CJ13)</f>
        <v>0.625</v>
      </c>
      <c r="CO13" s="305"/>
      <c r="CP13" s="305"/>
    </row>
    <row r="14" spans="1:95" ht="15" customHeight="1" thickBot="1" x14ac:dyDescent="0.25">
      <c r="A14" s="309">
        <v>4.1666666666666664E-2</v>
      </c>
      <c r="B14" s="309"/>
      <c r="C14" s="309"/>
      <c r="D14" s="77"/>
      <c r="E14" s="74"/>
      <c r="W14" s="318" t="str">
        <f>IF(OR($G13="",$AB13=""),"",IF($BP13&gt;=5,"",IF($BP13*60+$BR13&gt;0,"運転時間は最低３時間のため始業点呼・就業点呼の＋２時間で５時間となります","")))</f>
        <v/>
      </c>
      <c r="X14" s="318"/>
      <c r="Y14" s="318"/>
      <c r="Z14" s="318"/>
      <c r="AA14" s="318"/>
      <c r="AB14" s="318"/>
      <c r="AC14" s="318"/>
      <c r="AD14" s="318"/>
      <c r="AE14" s="318"/>
      <c r="AF14" s="318"/>
      <c r="AG14" s="318"/>
      <c r="AH14" s="318"/>
      <c r="AI14" s="318"/>
      <c r="AJ14" s="318"/>
      <c r="AK14" s="318"/>
      <c r="AL14" s="318"/>
      <c r="AM14" s="318"/>
      <c r="AN14" s="318"/>
      <c r="AP14" s="78"/>
      <c r="AQ14" s="79"/>
      <c r="AR14" s="79"/>
      <c r="BP14" s="98"/>
      <c r="BQ14" s="98"/>
      <c r="BR14" s="99"/>
      <c r="BS14" s="99"/>
      <c r="BT14" s="99"/>
      <c r="BU14" s="99"/>
      <c r="BV14" s="99"/>
      <c r="BW14" s="99"/>
      <c r="BX14" s="99"/>
      <c r="BY14" s="99"/>
      <c r="BZ14" s="99"/>
      <c r="CA14" s="99"/>
      <c r="CC14" s="100"/>
      <c r="CD14" s="100"/>
    </row>
    <row r="15" spans="1:95" ht="18.75" customHeight="1" thickBot="1" x14ac:dyDescent="0.25">
      <c r="A15" s="9"/>
      <c r="B15" s="9"/>
      <c r="C15" s="9"/>
      <c r="D15" s="7" t="s">
        <v>26</v>
      </c>
      <c r="E15" s="74"/>
      <c r="G15" s="310" t="str">
        <f>IF(AND($L15="",$O15=""),"",IF($L15=0,TIME(23,$O15,0),TIME($L15-1,$O15,0)))</f>
        <v/>
      </c>
      <c r="H15" s="310"/>
      <c r="I15" s="310"/>
      <c r="J15" s="260" t="s">
        <v>39</v>
      </c>
      <c r="K15" s="260"/>
      <c r="L15" s="319"/>
      <c r="M15" s="320"/>
      <c r="N15" s="5" t="s">
        <v>46</v>
      </c>
      <c r="O15" s="313"/>
      <c r="P15" s="314"/>
      <c r="Q15" s="38" t="s">
        <v>21</v>
      </c>
      <c r="R15" s="260" t="s">
        <v>39</v>
      </c>
      <c r="S15" s="260"/>
      <c r="T15" s="321"/>
      <c r="U15" s="322"/>
      <c r="V15" s="5" t="s">
        <v>46</v>
      </c>
      <c r="W15" s="313"/>
      <c r="X15" s="314"/>
      <c r="Y15" s="38" t="s">
        <v>21</v>
      </c>
      <c r="Z15" s="260" t="s">
        <v>39</v>
      </c>
      <c r="AA15" s="260"/>
      <c r="AB15" s="310" t="str">
        <f>IF(AND($T15="",$W15=""),"",TIME(T15+1,W15,0))</f>
        <v/>
      </c>
      <c r="AC15" s="310"/>
      <c r="AD15" s="310"/>
      <c r="AE15" s="214"/>
      <c r="AF15" s="325">
        <f>IF(OR($G15="",$AB15=""),0,IF(OR($BP15&gt;20,AND($BP15=20,$BR15&gt;0)),"20時間を",IF($BR15=0,IF($BP15=0,0,IF($BP15&gt;5,$BP15,5)),IF($BP15&lt;5,5,$BP15))))</f>
        <v>0</v>
      </c>
      <c r="AG15" s="325"/>
      <c r="AH15" s="325"/>
      <c r="AI15" s="326">
        <f>IF(OR($G15="",AB15=""),0,IF($AF15="20時間を","超えています",IF($BP15&lt;5,0,$BR15)))</f>
        <v>0</v>
      </c>
      <c r="AJ15" s="326"/>
      <c r="AK15" s="326"/>
      <c r="AL15" s="326"/>
      <c r="AM15" s="75" t="s">
        <v>47</v>
      </c>
      <c r="AN15" s="327">
        <f>IF(AF15="20時間を",0,IF(OR($G15="",$AB15=""),0,HOUR($CC15)))</f>
        <v>0</v>
      </c>
      <c r="AO15" s="327"/>
      <c r="AP15" s="327"/>
      <c r="AQ15" s="328">
        <f>IF(AF15="20時間を",0,IF(OR($G15="",AB15=""),0,MINUTE($CC15)))</f>
        <v>0</v>
      </c>
      <c r="AR15" s="328"/>
      <c r="AS15" s="38" t="s">
        <v>48</v>
      </c>
      <c r="AT15" s="76"/>
      <c r="AU15" s="76"/>
      <c r="AV15" s="38"/>
      <c r="BP15" s="323">
        <f>IF(CJ15=CF15,26,HOUR(BY15)+2)</f>
        <v>26</v>
      </c>
      <c r="BQ15" s="323"/>
      <c r="BR15" s="324" t="e">
        <f>MINUTE(BU15)</f>
        <v>#VALUE!</v>
      </c>
      <c r="BS15" s="324"/>
      <c r="BT15" s="211" t="s">
        <v>30</v>
      </c>
      <c r="BU15" s="305" t="e">
        <f>+BY15+$CN$6</f>
        <v>#VALUE!</v>
      </c>
      <c r="BV15" s="305"/>
      <c r="BW15" s="305"/>
      <c r="BX15" s="211"/>
      <c r="BY15" s="305" t="e">
        <f>CN15-CF15</f>
        <v>#VALUE!</v>
      </c>
      <c r="BZ15" s="305"/>
      <c r="CA15" s="305"/>
      <c r="CC15" s="315" t="e">
        <f>BU15-(IF($AB15&gt;$G15,IF($G15&lt;$A$17,IF($AB15&lt;=$A$17,0,IF($AB15&lt;$A$16,$AB15-$A$17,$A$16-$A$17)),IF($G15&lt;$A$16,IF($AB15&lt;$A$16,$AB15-$G15,$A$16-$G15),0)),IF($G15&gt;=$A$16,IF($AB15&lt;$A$17,0,IF($AB15&lt;$A$16,$AB15-$A$17,$A$16-$A$17)),IF($G15&gt;$A$17,IF($AB15&lt;$A$17,$A$16-$G15,($A$16-$G15)+($AB15-$A$17)),$A$16-$A$17))))</f>
        <v>#VALUE!</v>
      </c>
      <c r="CD15" s="315"/>
      <c r="CF15" s="315" t="str">
        <f>IF(AND(L15="",O15=""),"",TIME($L15,$O15,0))</f>
        <v/>
      </c>
      <c r="CG15" s="315"/>
      <c r="CH15" s="315"/>
      <c r="CJ15" s="315" t="str">
        <f>IF(AND(T15="",W15=""),"",TIME($T15,$W15,0))</f>
        <v/>
      </c>
      <c r="CK15" s="315"/>
      <c r="CL15" s="315"/>
      <c r="CN15" s="305" t="e">
        <f>IF(CF15&gt;=CJ15,CJ15+$CC$11,CJ15)</f>
        <v>#VALUE!</v>
      </c>
      <c r="CO15" s="305"/>
      <c r="CP15" s="305"/>
    </row>
    <row r="16" spans="1:95" ht="15" customHeight="1" thickBot="1" x14ac:dyDescent="0.25">
      <c r="A16" s="309">
        <v>0.91666666666666663</v>
      </c>
      <c r="B16" s="309"/>
      <c r="C16" s="309"/>
      <c r="D16" s="77"/>
      <c r="E16" s="74"/>
      <c r="W16" s="318" t="str">
        <f>IF(OR($G15="",$AB15=""),"",IF($BP15&gt;=5,"",IF($BP15*60+$BR15&gt;0,"運転時間は最低３時間のため始業点呼・就業点呼の＋２時間で５時間となります","")))</f>
        <v/>
      </c>
      <c r="X16" s="318"/>
      <c r="Y16" s="318"/>
      <c r="Z16" s="318"/>
      <c r="AA16" s="318"/>
      <c r="AB16" s="318"/>
      <c r="AC16" s="318"/>
      <c r="AD16" s="318"/>
      <c r="AE16" s="318"/>
      <c r="AF16" s="318"/>
      <c r="AG16" s="318"/>
      <c r="AH16" s="318"/>
      <c r="AI16" s="318"/>
      <c r="AJ16" s="318"/>
      <c r="AK16" s="318"/>
      <c r="AL16" s="318"/>
      <c r="AM16" s="318"/>
      <c r="AN16" s="318"/>
      <c r="AP16" s="78"/>
      <c r="AQ16" s="79"/>
      <c r="AR16" s="79"/>
      <c r="BP16" s="98"/>
      <c r="BQ16" s="98"/>
      <c r="BR16" s="99"/>
      <c r="BS16" s="99"/>
      <c r="BT16" s="99"/>
      <c r="BU16" s="99"/>
      <c r="BV16" s="99"/>
      <c r="BW16" s="99"/>
      <c r="BX16" s="99"/>
      <c r="BY16" s="99"/>
      <c r="BZ16" s="99"/>
      <c r="CA16" s="99"/>
      <c r="CC16" s="100"/>
      <c r="CD16" s="100"/>
    </row>
    <row r="17" spans="1:94" ht="18.75" customHeight="1" thickBot="1" x14ac:dyDescent="0.25">
      <c r="A17" s="309">
        <v>0.20833333333333334</v>
      </c>
      <c r="B17" s="309"/>
      <c r="C17" s="309"/>
      <c r="D17" s="7" t="s">
        <v>28</v>
      </c>
      <c r="E17" s="74"/>
      <c r="G17" s="310" t="str">
        <f>IF(AND($L17="",$O17=""),"",IF($L17=0,TIME(23,$O17,0),TIME($L17-1,$O17,0)))</f>
        <v/>
      </c>
      <c r="H17" s="310"/>
      <c r="I17" s="310"/>
      <c r="J17" s="260" t="s">
        <v>39</v>
      </c>
      <c r="K17" s="260"/>
      <c r="L17" s="321"/>
      <c r="M17" s="322"/>
      <c r="N17" s="5" t="s">
        <v>46</v>
      </c>
      <c r="O17" s="313"/>
      <c r="P17" s="314"/>
      <c r="Q17" s="38" t="s">
        <v>21</v>
      </c>
      <c r="R17" s="260" t="s">
        <v>39</v>
      </c>
      <c r="S17" s="260"/>
      <c r="T17" s="321"/>
      <c r="U17" s="322"/>
      <c r="V17" s="5" t="s">
        <v>46</v>
      </c>
      <c r="W17" s="313"/>
      <c r="X17" s="314"/>
      <c r="Y17" s="38" t="s">
        <v>21</v>
      </c>
      <c r="Z17" s="260" t="s">
        <v>39</v>
      </c>
      <c r="AA17" s="260"/>
      <c r="AB17" s="310" t="str">
        <f>IF(AND($T17="",$W17=""),"",TIME(T17+1,W17,0))</f>
        <v/>
      </c>
      <c r="AC17" s="310"/>
      <c r="AD17" s="310"/>
      <c r="AE17" s="214"/>
      <c r="AF17" s="325">
        <f>IF(OR($G17="",$AB17=""),0,IF(OR($BP17&gt;20,AND($BP17=20,$BR17&gt;0)),"20時間を",IF($BR17=0,IF($BP17=0,0,IF($BP17&gt;5,$BP17,5)),IF($BP17&lt;5,5,$BP17))))</f>
        <v>0</v>
      </c>
      <c r="AG17" s="325"/>
      <c r="AH17" s="325"/>
      <c r="AI17" s="326">
        <f>IF(OR($G17="",AB17=""),0,IF($AF17="20時間を","超えています",IF($BP17&lt;5,0,$BR17)))</f>
        <v>0</v>
      </c>
      <c r="AJ17" s="326"/>
      <c r="AK17" s="326"/>
      <c r="AL17" s="326"/>
      <c r="AM17" s="75" t="s">
        <v>47</v>
      </c>
      <c r="AN17" s="327">
        <f>IF(AF17="20時間を",0,IF(OR($G17="",$AB17=""),0,HOUR($CC17)))</f>
        <v>0</v>
      </c>
      <c r="AO17" s="327"/>
      <c r="AP17" s="327"/>
      <c r="AQ17" s="328">
        <f>IF(AF17="20時間を",0,IF(OR($G17="",AB17=""),0,MINUTE($CC17)))</f>
        <v>0</v>
      </c>
      <c r="AR17" s="328"/>
      <c r="AS17" s="38" t="s">
        <v>48</v>
      </c>
      <c r="AT17" s="76"/>
      <c r="AU17" s="76"/>
      <c r="AV17" s="38"/>
      <c r="BP17" s="323">
        <f>IF(CJ17=CF17,26,HOUR(BY17)+2)</f>
        <v>26</v>
      </c>
      <c r="BQ17" s="323"/>
      <c r="BR17" s="324" t="e">
        <f>MINUTE(BU17)</f>
        <v>#VALUE!</v>
      </c>
      <c r="BS17" s="324"/>
      <c r="BT17" s="211" t="s">
        <v>30</v>
      </c>
      <c r="BU17" s="305" t="e">
        <f>+BY17+$CN$6</f>
        <v>#VALUE!</v>
      </c>
      <c r="BV17" s="305"/>
      <c r="BW17" s="305"/>
      <c r="BX17" s="211"/>
      <c r="BY17" s="305" t="e">
        <f>CN17-CF17</f>
        <v>#VALUE!</v>
      </c>
      <c r="BZ17" s="305"/>
      <c r="CA17" s="305"/>
      <c r="CC17" s="315" t="e">
        <f>BU17-(IF($AB17&gt;$G17,IF($G17&lt;$A$17,IF($AB17&lt;=$A$17,0,IF($AB17&lt;$A$16,$AB17-$A$17,$A$16-$A$17)),IF($G17&lt;$A$16,IF($AB17&lt;$A$16,$AB17-$G17,$A$16-$G17),0)),IF($G17&gt;=$A$16,IF($AB17&lt;$A$17,0,IF($AB17&lt;$A$16,$AB17-$A$17,$A$16-$A$17)),IF($G17&gt;$A$17,IF($AB17&lt;$A$17,$A$16-$G17,($A$16-$G17)+($AB17-$A$17)),$A$16-$A$17))))</f>
        <v>#VALUE!</v>
      </c>
      <c r="CD17" s="315"/>
      <c r="CF17" s="315" t="str">
        <f>IF(AND(L17="",O17=""),"",TIME($L17,$O17,0))</f>
        <v/>
      </c>
      <c r="CG17" s="315"/>
      <c r="CH17" s="315"/>
      <c r="CJ17" s="315" t="str">
        <f>IF(AND(T17="",W17=""),"",TIME($T17,$W17,0))</f>
        <v/>
      </c>
      <c r="CK17" s="315"/>
      <c r="CL17" s="315"/>
      <c r="CN17" s="305" t="e">
        <f>IF(CF17&gt;=CJ17,CJ17+$CC$11,CJ17)</f>
        <v>#VALUE!</v>
      </c>
      <c r="CO17" s="305"/>
      <c r="CP17" s="305"/>
    </row>
    <row r="18" spans="1:94" ht="12.75" customHeight="1" thickBot="1" x14ac:dyDescent="0.25">
      <c r="A18" s="8"/>
      <c r="B18" s="8"/>
      <c r="C18" s="8"/>
      <c r="W18" s="318" t="str">
        <f>IF(OR($G17="",$AB17=""),"",IF($BP17&gt;=5,"",IF($BP17*60+$BR17&gt;0,"運転時間は最低３時間のため始業点呼・就業点呼の＋２時間で５時間となります","")))</f>
        <v/>
      </c>
      <c r="X18" s="318"/>
      <c r="Y18" s="318"/>
      <c r="Z18" s="318"/>
      <c r="AA18" s="318"/>
      <c r="AB18" s="318"/>
      <c r="AC18" s="318"/>
      <c r="AD18" s="318"/>
      <c r="AE18" s="318"/>
      <c r="AF18" s="318"/>
      <c r="AG18" s="318"/>
      <c r="AH18" s="318"/>
      <c r="AI18" s="318"/>
      <c r="AJ18" s="318"/>
      <c r="AK18" s="318"/>
      <c r="AL18" s="318"/>
      <c r="AM18" s="318"/>
      <c r="AN18" s="318"/>
    </row>
    <row r="19" spans="1:94" ht="18.75" customHeight="1" thickBot="1" x14ac:dyDescent="0.25">
      <c r="A19" s="309">
        <v>0.20833333333333334</v>
      </c>
      <c r="B19" s="309"/>
      <c r="C19" s="309"/>
      <c r="D19" s="7" t="s">
        <v>113</v>
      </c>
      <c r="E19" s="74"/>
      <c r="G19" s="310" t="str">
        <f>IF(AND($L19="",$O19=""),"",IF($L19=0,TIME(23,$O19,0),TIME($L19-1,$O19,0)))</f>
        <v/>
      </c>
      <c r="H19" s="310"/>
      <c r="I19" s="310"/>
      <c r="J19" s="260" t="s">
        <v>39</v>
      </c>
      <c r="K19" s="260"/>
      <c r="L19" s="321"/>
      <c r="M19" s="322"/>
      <c r="N19" s="5" t="s">
        <v>46</v>
      </c>
      <c r="O19" s="313"/>
      <c r="P19" s="314"/>
      <c r="Q19" s="38" t="s">
        <v>21</v>
      </c>
      <c r="R19" s="260" t="s">
        <v>39</v>
      </c>
      <c r="S19" s="260"/>
      <c r="T19" s="321"/>
      <c r="U19" s="322"/>
      <c r="V19" s="5" t="s">
        <v>46</v>
      </c>
      <c r="W19" s="313"/>
      <c r="X19" s="314"/>
      <c r="Y19" s="38" t="s">
        <v>21</v>
      </c>
      <c r="Z19" s="260" t="s">
        <v>39</v>
      </c>
      <c r="AA19" s="260"/>
      <c r="AB19" s="310" t="str">
        <f>IF(AND($T19="",$W19=""),"",TIME(T19+1,W19,0))</f>
        <v/>
      </c>
      <c r="AC19" s="310"/>
      <c r="AD19" s="310"/>
      <c r="AE19" s="214"/>
      <c r="AF19" s="325">
        <f>IF(OR($G19="",$AB19=""),0,IF(OR($BP19&gt;20,AND($BP19=20,$BR19&gt;0)),"20時間を",IF($BR19=0,IF($BP19=0,0,IF($BP19&gt;5,$BP19,5)),IF($BP19&lt;5,5,$BP19))))</f>
        <v>0</v>
      </c>
      <c r="AG19" s="325"/>
      <c r="AH19" s="325"/>
      <c r="AI19" s="326">
        <f>IF(OR($G19="",AB19=""),0,IF($AF19="20時間を","超えています",IF($BP19&lt;5,0,$BR19)))</f>
        <v>0</v>
      </c>
      <c r="AJ19" s="326"/>
      <c r="AK19" s="326"/>
      <c r="AL19" s="326"/>
      <c r="AM19" s="75" t="s">
        <v>47</v>
      </c>
      <c r="AN19" s="327">
        <f>IF(AF19="20時間を",0,IF(OR($G19="",$AB19=""),0,HOUR($CC19)))</f>
        <v>0</v>
      </c>
      <c r="AO19" s="327"/>
      <c r="AP19" s="327"/>
      <c r="AQ19" s="328">
        <f>IF(AF19="20時間を",0,IF(OR($G19="",AB19=""),0,MINUTE($CC19)))</f>
        <v>0</v>
      </c>
      <c r="AR19" s="328"/>
      <c r="AS19" s="38" t="s">
        <v>48</v>
      </c>
      <c r="AT19" s="76"/>
      <c r="AU19" s="76"/>
      <c r="AV19" s="38"/>
      <c r="BP19" s="323">
        <f>IF(CJ19=CF19,26,HOUR(BY19)+2)</f>
        <v>26</v>
      </c>
      <c r="BQ19" s="323"/>
      <c r="BR19" s="324" t="e">
        <f>MINUTE(BU19)</f>
        <v>#VALUE!</v>
      </c>
      <c r="BS19" s="324"/>
      <c r="BT19" s="211" t="s">
        <v>30</v>
      </c>
      <c r="BU19" s="305" t="e">
        <f>+BY19+$CN$6</f>
        <v>#VALUE!</v>
      </c>
      <c r="BV19" s="305"/>
      <c r="BW19" s="305"/>
      <c r="BX19" s="211"/>
      <c r="BY19" s="305" t="e">
        <f>CN19-CF19</f>
        <v>#VALUE!</v>
      </c>
      <c r="BZ19" s="305"/>
      <c r="CA19" s="305"/>
      <c r="CC19" s="315" t="e">
        <f>BU19-(IF($AB19&gt;$G19,IF($G19&lt;$A$17,IF($AB19&lt;=$A$17,0,IF($AB19&lt;$A$16,$AB19-$A$17,$A$16-$A$17)),IF($G19&lt;$A$16,IF($AB19&lt;$A$16,$AB19-$G19,$A$16-$G19),0)),IF($G19&gt;=$A$16,IF($AB19&lt;$A$17,0,IF($AB19&lt;$A$16,$AB19-$A$17,$A$16-$A$17)),IF($G19&gt;$A$17,IF($AB19&lt;$A$17,$A$16-$G19,($A$16-$G19)+($AB19-$A$17)),$A$16-$A$17))))</f>
        <v>#VALUE!</v>
      </c>
      <c r="CD19" s="315"/>
      <c r="CF19" s="315" t="str">
        <f>IF(AND(L19="",O19=""),"",TIME($L19,$O19,0))</f>
        <v/>
      </c>
      <c r="CG19" s="315"/>
      <c r="CH19" s="315"/>
      <c r="CJ19" s="315" t="str">
        <f>IF(AND(T19="",W19=""),"",TIME($T19,$W19,0))</f>
        <v/>
      </c>
      <c r="CK19" s="315"/>
      <c r="CL19" s="315"/>
      <c r="CN19" s="305" t="e">
        <f>IF(CF19&gt;=CJ19,CJ19+$CC$11,CJ19)</f>
        <v>#VALUE!</v>
      </c>
      <c r="CO19" s="305"/>
      <c r="CP19" s="305"/>
    </row>
    <row r="20" spans="1:94" ht="12.75" customHeight="1" thickBot="1" x14ac:dyDescent="0.25">
      <c r="A20" s="8"/>
      <c r="B20" s="8"/>
      <c r="C20" s="8"/>
      <c r="W20" s="318" t="str">
        <f>IF(OR($G19="",$AB19=""),"",IF($BP19&gt;=5,"",IF($BP19*60+$BR19&gt;0,"運転時間は最低３時間のため始業点呼・就業点呼の＋２時間で５時間となります","")))</f>
        <v/>
      </c>
      <c r="X20" s="318"/>
      <c r="Y20" s="318"/>
      <c r="Z20" s="318"/>
      <c r="AA20" s="318"/>
      <c r="AB20" s="318"/>
      <c r="AC20" s="318"/>
      <c r="AD20" s="318"/>
      <c r="AE20" s="318"/>
      <c r="AF20" s="318"/>
      <c r="AG20" s="318"/>
      <c r="AH20" s="318"/>
      <c r="AI20" s="318"/>
      <c r="AJ20" s="318"/>
      <c r="AK20" s="318"/>
      <c r="AL20" s="318"/>
      <c r="AM20" s="318"/>
      <c r="AN20" s="318"/>
    </row>
    <row r="21" spans="1:94" ht="18.75" customHeight="1" thickBot="1" x14ac:dyDescent="0.25">
      <c r="A21" s="309">
        <v>0.20833333333333334</v>
      </c>
      <c r="B21" s="309"/>
      <c r="C21" s="309"/>
      <c r="D21" s="7" t="s">
        <v>114</v>
      </c>
      <c r="E21" s="74"/>
      <c r="G21" s="310" t="str">
        <f>IF(AND($L21="",$O21=""),"",IF($L21=0,TIME(23,$O21,0),TIME($L21-1,$O21,0)))</f>
        <v/>
      </c>
      <c r="H21" s="310"/>
      <c r="I21" s="310"/>
      <c r="J21" s="260" t="s">
        <v>39</v>
      </c>
      <c r="K21" s="260"/>
      <c r="L21" s="321"/>
      <c r="M21" s="322"/>
      <c r="N21" s="5" t="s">
        <v>46</v>
      </c>
      <c r="O21" s="313"/>
      <c r="P21" s="314"/>
      <c r="Q21" s="38" t="s">
        <v>21</v>
      </c>
      <c r="R21" s="260" t="s">
        <v>39</v>
      </c>
      <c r="S21" s="260"/>
      <c r="T21" s="321"/>
      <c r="U21" s="322"/>
      <c r="V21" s="5" t="s">
        <v>46</v>
      </c>
      <c r="W21" s="313"/>
      <c r="X21" s="314"/>
      <c r="Y21" s="38" t="s">
        <v>21</v>
      </c>
      <c r="Z21" s="260" t="s">
        <v>39</v>
      </c>
      <c r="AA21" s="260"/>
      <c r="AB21" s="310" t="str">
        <f>IF(AND($T21="",$W21=""),"",TIME(T21+1,W21,0))</f>
        <v/>
      </c>
      <c r="AC21" s="310"/>
      <c r="AD21" s="310"/>
      <c r="AE21" s="214"/>
      <c r="AF21" s="325">
        <f>IF(OR($G21="",$AB21=""),0,IF(OR($BP21&gt;20,AND($BP21=20,$BR21&gt;0)),"20時間を",IF($BR21=0,IF($BP21=0,0,IF($BP21&gt;5,$BP21,5)),IF($BP21&lt;5,5,$BP21))))</f>
        <v>0</v>
      </c>
      <c r="AG21" s="325"/>
      <c r="AH21" s="325"/>
      <c r="AI21" s="326">
        <f>IF(OR($G21="",AB21=""),0,IF($AF21="20時間を","超えています",IF($BP21&lt;5,0,$BR21)))</f>
        <v>0</v>
      </c>
      <c r="AJ21" s="326"/>
      <c r="AK21" s="326"/>
      <c r="AL21" s="326"/>
      <c r="AM21" s="75" t="s">
        <v>47</v>
      </c>
      <c r="AN21" s="327">
        <f>IF(AF21="20時間を",0,IF(OR($G21="",$AB21=""),0,HOUR($CC21)))</f>
        <v>0</v>
      </c>
      <c r="AO21" s="327"/>
      <c r="AP21" s="327"/>
      <c r="AQ21" s="328">
        <f>IF(AF21="20時間を",0,IF(OR($G21="",AB21=""),0,MINUTE($CC21)))</f>
        <v>0</v>
      </c>
      <c r="AR21" s="328"/>
      <c r="AS21" s="38" t="s">
        <v>48</v>
      </c>
      <c r="AT21" s="76"/>
      <c r="AU21" s="76"/>
      <c r="AV21" s="38"/>
      <c r="BP21" s="323">
        <f>IF(CJ21=CF21,26,HOUR(BY21)+2)</f>
        <v>26</v>
      </c>
      <c r="BQ21" s="323"/>
      <c r="BR21" s="324" t="e">
        <f>MINUTE(BU21)</f>
        <v>#VALUE!</v>
      </c>
      <c r="BS21" s="324"/>
      <c r="BT21" s="211" t="s">
        <v>30</v>
      </c>
      <c r="BU21" s="305" t="e">
        <f>+BY21+$CN$6</f>
        <v>#VALUE!</v>
      </c>
      <c r="BV21" s="305"/>
      <c r="BW21" s="305"/>
      <c r="BX21" s="211"/>
      <c r="BY21" s="305" t="e">
        <f>CN21-CF21</f>
        <v>#VALUE!</v>
      </c>
      <c r="BZ21" s="305"/>
      <c r="CA21" s="305"/>
      <c r="CC21" s="315" t="e">
        <f>BU21-(IF($AB21&gt;$G21,IF($G21&lt;$A$17,IF($AB21&lt;=$A$17,0,IF($AB21&lt;$A$16,$AB21-$A$17,$A$16-$A$17)),IF($G21&lt;$A$16,IF($AB21&lt;$A$16,$AB21-$G21,$A$16-$G21),0)),IF($G21&gt;=$A$16,IF($AB21&lt;$A$17,0,IF($AB21&lt;$A$16,$AB21-$A$17,$A$16-$A$17)),IF($G21&gt;$A$17,IF($AB21&lt;$A$17,$A$16-$G21,($A$16-$G21)+($AB21-$A$17)),$A$16-$A$17))))</f>
        <v>#VALUE!</v>
      </c>
      <c r="CD21" s="315"/>
      <c r="CF21" s="315" t="str">
        <f>IF(AND(L21="",O21=""),"",TIME($L21,$O21,0))</f>
        <v/>
      </c>
      <c r="CG21" s="315"/>
      <c r="CH21" s="315"/>
      <c r="CJ21" s="315" t="str">
        <f>IF(AND(T21="",W21=""),"",TIME($T21,$W21,0))</f>
        <v/>
      </c>
      <c r="CK21" s="315"/>
      <c r="CL21" s="315"/>
      <c r="CN21" s="305" t="e">
        <f>IF(CF21&gt;=CJ21,CJ21+$CC$11,CJ21)</f>
        <v>#VALUE!</v>
      </c>
      <c r="CO21" s="305"/>
      <c r="CP21" s="305"/>
    </row>
    <row r="22" spans="1:94" ht="12.75" customHeight="1" thickBot="1" x14ac:dyDescent="0.25">
      <c r="A22" s="8"/>
      <c r="B22" s="8"/>
      <c r="C22" s="8"/>
      <c r="W22" s="318" t="str">
        <f>IF(OR($G21="",$AB21=""),"",IF($BP21&gt;=5,"",IF($BP21*60+$BR21&gt;0,"運転時間は最低３時間のため始業点呼・就業点呼の＋２時間で５時間となります","")))</f>
        <v/>
      </c>
      <c r="X22" s="318"/>
      <c r="Y22" s="318"/>
      <c r="Z22" s="318"/>
      <c r="AA22" s="318"/>
      <c r="AB22" s="318"/>
      <c r="AC22" s="318"/>
      <c r="AD22" s="318"/>
      <c r="AE22" s="318"/>
      <c r="AF22" s="318"/>
      <c r="AG22" s="318"/>
      <c r="AH22" s="318"/>
      <c r="AI22" s="318"/>
      <c r="AJ22" s="318"/>
      <c r="AK22" s="318"/>
      <c r="AL22" s="318"/>
      <c r="AM22" s="318"/>
      <c r="AN22" s="318"/>
    </row>
    <row r="23" spans="1:94" ht="18.75" customHeight="1" thickBot="1" x14ac:dyDescent="0.25">
      <c r="A23" s="309">
        <v>0.20833333333333334</v>
      </c>
      <c r="B23" s="309"/>
      <c r="C23" s="309"/>
      <c r="D23" s="7" t="s">
        <v>115</v>
      </c>
      <c r="E23" s="74"/>
      <c r="G23" s="310" t="str">
        <f>IF(AND($L23="",$O23=""),"",IF($L23=0,TIME(23,$O23,0),TIME($L23-1,$O23,0)))</f>
        <v/>
      </c>
      <c r="H23" s="310"/>
      <c r="I23" s="310"/>
      <c r="J23" s="260" t="s">
        <v>39</v>
      </c>
      <c r="K23" s="260"/>
      <c r="L23" s="321"/>
      <c r="M23" s="322"/>
      <c r="N23" s="5" t="s">
        <v>46</v>
      </c>
      <c r="O23" s="313"/>
      <c r="P23" s="314"/>
      <c r="Q23" s="38" t="s">
        <v>21</v>
      </c>
      <c r="R23" s="260" t="s">
        <v>39</v>
      </c>
      <c r="S23" s="260"/>
      <c r="T23" s="321"/>
      <c r="U23" s="322"/>
      <c r="V23" s="5" t="s">
        <v>46</v>
      </c>
      <c r="W23" s="313"/>
      <c r="X23" s="314"/>
      <c r="Y23" s="38" t="s">
        <v>21</v>
      </c>
      <c r="Z23" s="260" t="s">
        <v>39</v>
      </c>
      <c r="AA23" s="260"/>
      <c r="AB23" s="310" t="str">
        <f>IF(AND($T23="",$W23=""),"",TIME(T23+1,W23,0))</f>
        <v/>
      </c>
      <c r="AC23" s="310"/>
      <c r="AD23" s="310"/>
      <c r="AE23" s="214"/>
      <c r="AF23" s="325">
        <f>IF(OR($G23="",$AB23=""),0,IF(OR($BP23&gt;20,AND($BP23=20,$BR23&gt;0)),"20時間を",IF($BR23=0,IF($BP23=0,0,IF($BP23&gt;5,$BP23,5)),IF($BP23&lt;5,5,$BP23))))</f>
        <v>0</v>
      </c>
      <c r="AG23" s="325"/>
      <c r="AH23" s="325"/>
      <c r="AI23" s="326">
        <f>IF(OR($G23="",AB23=""),0,IF($AF23="20時間を","超えています",IF($BP23&lt;5,0,$BR23)))</f>
        <v>0</v>
      </c>
      <c r="AJ23" s="326"/>
      <c r="AK23" s="326"/>
      <c r="AL23" s="326"/>
      <c r="AM23" s="75" t="s">
        <v>47</v>
      </c>
      <c r="AN23" s="327">
        <f>IF(AF23="20時間を",0,IF(OR($G23="",$AB23=""),0,HOUR($CC23)))</f>
        <v>0</v>
      </c>
      <c r="AO23" s="327"/>
      <c r="AP23" s="327"/>
      <c r="AQ23" s="328">
        <f>IF(AF23="20時間を",0,IF(OR($G23="",AB23=""),0,MINUTE($CC23)))</f>
        <v>0</v>
      </c>
      <c r="AR23" s="328"/>
      <c r="AS23" s="38" t="s">
        <v>48</v>
      </c>
      <c r="AT23" s="76"/>
      <c r="AU23" s="76"/>
      <c r="AV23" s="38"/>
      <c r="BP23" s="323">
        <f>IF(CJ23=CF23,26,HOUR(BY23)+2)</f>
        <v>26</v>
      </c>
      <c r="BQ23" s="323"/>
      <c r="BR23" s="324" t="e">
        <f>MINUTE(BU23)</f>
        <v>#VALUE!</v>
      </c>
      <c r="BS23" s="324"/>
      <c r="BT23" s="211" t="s">
        <v>30</v>
      </c>
      <c r="BU23" s="305" t="e">
        <f>+BY23+$CN$6</f>
        <v>#VALUE!</v>
      </c>
      <c r="BV23" s="305"/>
      <c r="BW23" s="305"/>
      <c r="BX23" s="211"/>
      <c r="BY23" s="305" t="e">
        <f>CN23-CF23</f>
        <v>#VALUE!</v>
      </c>
      <c r="BZ23" s="305"/>
      <c r="CA23" s="305"/>
      <c r="CC23" s="315" t="e">
        <f>BU23-(IF($AB23&gt;$G23,IF($G23&lt;$A$17,IF($AB23&lt;=$A$17,0,IF($AB23&lt;$A$16,$AB23-$A$17,$A$16-$A$17)),IF($G23&lt;$A$16,IF($AB23&lt;$A$16,$AB23-$G23,$A$16-$G23),0)),IF($G23&gt;=$A$16,IF($AB23&lt;$A$17,0,IF($AB23&lt;$A$16,$AB23-$A$17,$A$16-$A$17)),IF($G23&gt;$A$17,IF($AB23&lt;$A$17,$A$16-$G23,($A$16-$G23)+($AB23-$A$17)),$A$16-$A$17))))</f>
        <v>#VALUE!</v>
      </c>
      <c r="CD23" s="315"/>
      <c r="CF23" s="315" t="str">
        <f>IF(AND(L23="",O23=""),"",TIME($L23,$O23,0))</f>
        <v/>
      </c>
      <c r="CG23" s="315"/>
      <c r="CH23" s="315"/>
      <c r="CJ23" s="315" t="str">
        <f>IF(AND(T23="",W23=""),"",TIME($T23,$W23,0))</f>
        <v/>
      </c>
      <c r="CK23" s="315"/>
      <c r="CL23" s="315"/>
      <c r="CN23" s="305" t="e">
        <f>IF(CF23&gt;=CJ23,CJ23+$CC$11,CJ23)</f>
        <v>#VALUE!</v>
      </c>
      <c r="CO23" s="305"/>
      <c r="CP23" s="305"/>
    </row>
    <row r="24" spans="1:94" ht="12.75" customHeight="1" thickBot="1" x14ac:dyDescent="0.25">
      <c r="A24" s="8"/>
      <c r="B24" s="8"/>
      <c r="C24" s="8"/>
      <c r="W24" s="318" t="str">
        <f>IF(OR($G23="",$AB23=""),"",IF($BP23&gt;=5,"",IF($BP23*60+$BR23&gt;0,"運転時間は最低３時間のため始業点呼・就業点呼の＋２時間で５時間となります","")))</f>
        <v/>
      </c>
      <c r="X24" s="318"/>
      <c r="Y24" s="318"/>
      <c r="Z24" s="318"/>
      <c r="AA24" s="318"/>
      <c r="AB24" s="318"/>
      <c r="AC24" s="318"/>
      <c r="AD24" s="318"/>
      <c r="AE24" s="318"/>
      <c r="AF24" s="318"/>
      <c r="AG24" s="318"/>
      <c r="AH24" s="318"/>
      <c r="AI24" s="318"/>
      <c r="AJ24" s="318"/>
      <c r="AK24" s="318"/>
      <c r="AL24" s="318"/>
      <c r="AM24" s="318"/>
      <c r="AN24" s="318"/>
    </row>
    <row r="25" spans="1:94" ht="18.75" customHeight="1" thickBot="1" x14ac:dyDescent="0.25">
      <c r="A25" s="309">
        <v>0.20833333333333334</v>
      </c>
      <c r="B25" s="309"/>
      <c r="C25" s="309"/>
      <c r="D25" s="7" t="s">
        <v>116</v>
      </c>
      <c r="E25" s="74"/>
      <c r="G25" s="310" t="str">
        <f>IF(AND($L25="",$O25=""),"",IF($L25=0,TIME(23,$O25,0),TIME($L25-1,$O25,0)))</f>
        <v/>
      </c>
      <c r="H25" s="310"/>
      <c r="I25" s="310"/>
      <c r="J25" s="260" t="s">
        <v>39</v>
      </c>
      <c r="K25" s="260"/>
      <c r="L25" s="321"/>
      <c r="M25" s="322"/>
      <c r="N25" s="5" t="s">
        <v>46</v>
      </c>
      <c r="O25" s="313"/>
      <c r="P25" s="314"/>
      <c r="Q25" s="38" t="s">
        <v>21</v>
      </c>
      <c r="R25" s="260" t="s">
        <v>39</v>
      </c>
      <c r="S25" s="260"/>
      <c r="T25" s="321"/>
      <c r="U25" s="322"/>
      <c r="V25" s="5" t="s">
        <v>46</v>
      </c>
      <c r="W25" s="313"/>
      <c r="X25" s="314"/>
      <c r="Y25" s="38" t="s">
        <v>21</v>
      </c>
      <c r="Z25" s="260" t="s">
        <v>39</v>
      </c>
      <c r="AA25" s="260"/>
      <c r="AB25" s="310" t="str">
        <f>IF(AND($T25="",$W25=""),"",TIME(T25+1,W25,0))</f>
        <v/>
      </c>
      <c r="AC25" s="310"/>
      <c r="AD25" s="310"/>
      <c r="AE25" s="214"/>
      <c r="AF25" s="325">
        <f>IF(OR($G25="",$AB25=""),0,IF(OR($BP25&gt;20,AND($BP25=20,$BR25&gt;0)),"20時間を",IF($BR25=0,IF($BP25=0,0,IF($BP25&gt;5,$BP25,5)),IF($BP25&lt;5,5,$BP25))))</f>
        <v>0</v>
      </c>
      <c r="AG25" s="325"/>
      <c r="AH25" s="325"/>
      <c r="AI25" s="326">
        <f>IF(OR($G25="",AB25=""),0,IF($AF25="20時間を","超えています",IF($BP25&lt;5,0,$BR25)))</f>
        <v>0</v>
      </c>
      <c r="AJ25" s="326"/>
      <c r="AK25" s="326"/>
      <c r="AL25" s="326"/>
      <c r="AM25" s="75" t="s">
        <v>47</v>
      </c>
      <c r="AN25" s="327">
        <f>IF(AF25="20時間を",0,IF(OR($G25="",$AB25=""),0,HOUR($CC25)))</f>
        <v>0</v>
      </c>
      <c r="AO25" s="327"/>
      <c r="AP25" s="327"/>
      <c r="AQ25" s="328">
        <f>IF(AF25="20時間を",0,IF(OR($G25="",AB25=""),0,MINUTE($CC25)))</f>
        <v>0</v>
      </c>
      <c r="AR25" s="328"/>
      <c r="AS25" s="38" t="s">
        <v>48</v>
      </c>
      <c r="AT25" s="76"/>
      <c r="AU25" s="76"/>
      <c r="AV25" s="38"/>
      <c r="BP25" s="323">
        <f>IF(CJ25=CF25,26,HOUR(BY25)+2)</f>
        <v>26</v>
      </c>
      <c r="BQ25" s="323"/>
      <c r="BR25" s="324" t="e">
        <f>MINUTE(BU25)</f>
        <v>#VALUE!</v>
      </c>
      <c r="BS25" s="324"/>
      <c r="BT25" s="211" t="s">
        <v>30</v>
      </c>
      <c r="BU25" s="305" t="e">
        <f>+BY25+$CN$6</f>
        <v>#VALUE!</v>
      </c>
      <c r="BV25" s="305"/>
      <c r="BW25" s="305"/>
      <c r="BX25" s="211"/>
      <c r="BY25" s="305" t="e">
        <f>CN25-CF25</f>
        <v>#VALUE!</v>
      </c>
      <c r="BZ25" s="305"/>
      <c r="CA25" s="305"/>
      <c r="CC25" s="315" t="e">
        <f>BU25-(IF($AB25&gt;$G25,IF($G25&lt;$A$17,IF($AB25&lt;=$A$17,0,IF($AB25&lt;$A$16,$AB25-$A$17,$A$16-$A$17)),IF($G25&lt;$A$16,IF($AB25&lt;$A$16,$AB25-$G25,$A$16-$G25),0)),IF($G25&gt;=$A$16,IF($AB25&lt;$A$17,0,IF($AB25&lt;$A$16,$AB25-$A$17,$A$16-$A$17)),IF($G25&gt;$A$17,IF($AB25&lt;$A$17,$A$16-$G25,($A$16-$G25)+($AB25-$A$17)),$A$16-$A$17))))</f>
        <v>#VALUE!</v>
      </c>
      <c r="CD25" s="315"/>
      <c r="CF25" s="315" t="str">
        <f>IF(AND(L25="",O25=""),"",TIME($L25,$O25,0))</f>
        <v/>
      </c>
      <c r="CG25" s="315"/>
      <c r="CH25" s="315"/>
      <c r="CJ25" s="315" t="str">
        <f>IF(AND(T25="",W25=""),"",TIME($T25,$W25,0))</f>
        <v/>
      </c>
      <c r="CK25" s="315"/>
      <c r="CL25" s="315"/>
      <c r="CN25" s="305" t="e">
        <f>IF(CF25&gt;=CJ25,CJ25+$CC$11,CJ25)</f>
        <v>#VALUE!</v>
      </c>
      <c r="CO25" s="305"/>
      <c r="CP25" s="305"/>
    </row>
    <row r="26" spans="1:94" ht="12.75" customHeight="1" thickBot="1" x14ac:dyDescent="0.25">
      <c r="A26" s="8"/>
      <c r="B26" s="8"/>
      <c r="C26" s="8"/>
      <c r="W26" s="318" t="str">
        <f>IF(OR($G25="",$AB25=""),"",IF($BP25&gt;=5,"",IF($BP25*60+$BR25&gt;0,"運転時間は最低３時間のため始業点呼・就業点呼の＋２時間で５時間となります","")))</f>
        <v/>
      </c>
      <c r="X26" s="318"/>
      <c r="Y26" s="318"/>
      <c r="Z26" s="318"/>
      <c r="AA26" s="318"/>
      <c r="AB26" s="318"/>
      <c r="AC26" s="318"/>
      <c r="AD26" s="318"/>
      <c r="AE26" s="318"/>
      <c r="AF26" s="318"/>
      <c r="AG26" s="318"/>
      <c r="AH26" s="318"/>
      <c r="AI26" s="318"/>
      <c r="AJ26" s="318"/>
      <c r="AK26" s="318"/>
      <c r="AL26" s="318"/>
      <c r="AM26" s="318"/>
      <c r="AN26" s="318"/>
    </row>
    <row r="27" spans="1:94" ht="18.75" customHeight="1" thickBot="1" x14ac:dyDescent="0.25">
      <c r="A27" s="309">
        <v>0.20833333333333334</v>
      </c>
      <c r="B27" s="309"/>
      <c r="C27" s="309"/>
      <c r="D27" s="7" t="s">
        <v>117</v>
      </c>
      <c r="E27" s="74"/>
      <c r="G27" s="310" t="str">
        <f>IF(AND($L27="",$O27=""),"",IF($L27=0,TIME(23,$O27,0),TIME($L27-1,$O27,0)))</f>
        <v/>
      </c>
      <c r="H27" s="310"/>
      <c r="I27" s="310"/>
      <c r="J27" s="260" t="s">
        <v>39</v>
      </c>
      <c r="K27" s="260"/>
      <c r="L27" s="321"/>
      <c r="M27" s="322"/>
      <c r="N27" s="5" t="s">
        <v>46</v>
      </c>
      <c r="O27" s="313"/>
      <c r="P27" s="314"/>
      <c r="Q27" s="38" t="s">
        <v>21</v>
      </c>
      <c r="R27" s="260" t="s">
        <v>39</v>
      </c>
      <c r="S27" s="260"/>
      <c r="T27" s="321"/>
      <c r="U27" s="322"/>
      <c r="V27" s="5" t="s">
        <v>46</v>
      </c>
      <c r="W27" s="313"/>
      <c r="X27" s="314"/>
      <c r="Y27" s="38" t="s">
        <v>21</v>
      </c>
      <c r="Z27" s="260" t="s">
        <v>39</v>
      </c>
      <c r="AA27" s="260"/>
      <c r="AB27" s="310" t="str">
        <f>IF(AND($T27="",$W27=""),"",TIME(T27+1,W27,0))</f>
        <v/>
      </c>
      <c r="AC27" s="310"/>
      <c r="AD27" s="310"/>
      <c r="AE27" s="214"/>
      <c r="AF27" s="325">
        <f>IF(OR($G27="",$AB27=""),0,IF(OR($BP27&gt;20,AND($BP27=20,$BR27&gt;0)),"20時間を",IF($BR27=0,IF($BP27=0,0,IF($BP27&gt;5,$BP27,5)),IF($BP27&lt;5,5,$BP27))))</f>
        <v>0</v>
      </c>
      <c r="AG27" s="325"/>
      <c r="AH27" s="325"/>
      <c r="AI27" s="326">
        <f>IF(OR($G27="",AB27=""),0,IF($AF27="20時間を","超えています",IF($BP27&lt;5,0,$BR27)))</f>
        <v>0</v>
      </c>
      <c r="AJ27" s="326"/>
      <c r="AK27" s="326"/>
      <c r="AL27" s="326"/>
      <c r="AM27" s="75" t="s">
        <v>47</v>
      </c>
      <c r="AN27" s="327">
        <f>IF(AF27="20時間を",0,IF(OR($G27="",$AB27=""),0,HOUR($CC27)))</f>
        <v>0</v>
      </c>
      <c r="AO27" s="327"/>
      <c r="AP27" s="327"/>
      <c r="AQ27" s="328">
        <f>IF(AF27="20時間を",0,IF(OR($G27="",AB27=""),0,MINUTE($CC27)))</f>
        <v>0</v>
      </c>
      <c r="AR27" s="328"/>
      <c r="AS27" s="38" t="s">
        <v>48</v>
      </c>
      <c r="AT27" s="76"/>
      <c r="AU27" s="76"/>
      <c r="AV27" s="38"/>
      <c r="BP27" s="323">
        <f>IF(CJ27=CF27,26,HOUR(BY27)+2)</f>
        <v>26</v>
      </c>
      <c r="BQ27" s="323"/>
      <c r="BR27" s="324" t="e">
        <f>MINUTE(BU27)</f>
        <v>#VALUE!</v>
      </c>
      <c r="BS27" s="324"/>
      <c r="BT27" s="211" t="s">
        <v>30</v>
      </c>
      <c r="BU27" s="305" t="e">
        <f>+BY27+$CN$6</f>
        <v>#VALUE!</v>
      </c>
      <c r="BV27" s="305"/>
      <c r="BW27" s="305"/>
      <c r="BX27" s="211"/>
      <c r="BY27" s="305" t="e">
        <f>CN27-CF27</f>
        <v>#VALUE!</v>
      </c>
      <c r="BZ27" s="305"/>
      <c r="CA27" s="305"/>
      <c r="CC27" s="315" t="e">
        <f>BU27-(IF($AB27&gt;$G27,IF($G27&lt;$A$17,IF($AB27&lt;=$A$17,0,IF($AB27&lt;$A$16,$AB27-$A$17,$A$16-$A$17)),IF($G27&lt;$A$16,IF($AB27&lt;$A$16,$AB27-$G27,$A$16-$G27),0)),IF($G27&gt;=$A$16,IF($AB27&lt;$A$17,0,IF($AB27&lt;$A$16,$AB27-$A$17,$A$16-$A$17)),IF($G27&gt;$A$17,IF($AB27&lt;$A$17,$A$16-$G27,($A$16-$G27)+($AB27-$A$17)),$A$16-$A$17))))</f>
        <v>#VALUE!</v>
      </c>
      <c r="CD27" s="315"/>
      <c r="CF27" s="315" t="str">
        <f>IF(AND(L27="",O27=""),"",TIME($L27,$O27,0))</f>
        <v/>
      </c>
      <c r="CG27" s="315"/>
      <c r="CH27" s="315"/>
      <c r="CJ27" s="315" t="str">
        <f>IF(AND(T27="",W27=""),"",TIME($T27,$W27,0))</f>
        <v/>
      </c>
      <c r="CK27" s="315"/>
      <c r="CL27" s="315"/>
      <c r="CN27" s="305" t="e">
        <f>IF(CF27&gt;=CJ27,CJ27+$CC$11,CJ27)</f>
        <v>#VALUE!</v>
      </c>
      <c r="CO27" s="305"/>
      <c r="CP27" s="305"/>
    </row>
    <row r="28" spans="1:94" ht="12.75" customHeight="1" thickBot="1" x14ac:dyDescent="0.25">
      <c r="A28" s="8"/>
      <c r="B28" s="8"/>
      <c r="C28" s="8"/>
      <c r="W28" s="318" t="str">
        <f>IF(OR($G27="",$AB27=""),"",IF($BP27&gt;=5,"",IF($BP27*60+$BR27&gt;0,"運転時間は最低３時間のため始業点呼・就業点呼の＋２時間で５時間となります","")))</f>
        <v/>
      </c>
      <c r="X28" s="318"/>
      <c r="Y28" s="318"/>
      <c r="Z28" s="318"/>
      <c r="AA28" s="318"/>
      <c r="AB28" s="318"/>
      <c r="AC28" s="318"/>
      <c r="AD28" s="318"/>
      <c r="AE28" s="318"/>
      <c r="AF28" s="318"/>
      <c r="AG28" s="318"/>
      <c r="AH28" s="318"/>
      <c r="AI28" s="318"/>
      <c r="AJ28" s="318"/>
      <c r="AK28" s="318"/>
      <c r="AL28" s="318"/>
      <c r="AM28" s="318"/>
      <c r="AN28" s="318"/>
    </row>
    <row r="29" spans="1:94" ht="18.75" customHeight="1" thickBot="1" x14ac:dyDescent="0.25">
      <c r="A29" s="309">
        <v>0.20833333333333334</v>
      </c>
      <c r="B29" s="309"/>
      <c r="C29" s="309"/>
      <c r="D29" s="7" t="s">
        <v>118</v>
      </c>
      <c r="E29" s="74"/>
      <c r="G29" s="310" t="str">
        <f>IF(AND($L29="",$O29=""),"",IF($L29=0,TIME(23,$O29,0),TIME($L29-1,$O29,0)))</f>
        <v/>
      </c>
      <c r="H29" s="310"/>
      <c r="I29" s="310"/>
      <c r="J29" s="260" t="s">
        <v>39</v>
      </c>
      <c r="K29" s="260"/>
      <c r="L29" s="321"/>
      <c r="M29" s="322"/>
      <c r="N29" s="5" t="s">
        <v>46</v>
      </c>
      <c r="O29" s="313"/>
      <c r="P29" s="314"/>
      <c r="Q29" s="38" t="s">
        <v>21</v>
      </c>
      <c r="R29" s="260" t="s">
        <v>39</v>
      </c>
      <c r="S29" s="260"/>
      <c r="T29" s="321"/>
      <c r="U29" s="322"/>
      <c r="V29" s="5" t="s">
        <v>46</v>
      </c>
      <c r="W29" s="313"/>
      <c r="X29" s="314"/>
      <c r="Y29" s="38" t="s">
        <v>21</v>
      </c>
      <c r="Z29" s="260" t="s">
        <v>39</v>
      </c>
      <c r="AA29" s="260"/>
      <c r="AB29" s="310" t="str">
        <f>IF(AND($T29="",$W29=""),"",TIME(T29+1,W29,0))</f>
        <v/>
      </c>
      <c r="AC29" s="310"/>
      <c r="AD29" s="310"/>
      <c r="AE29" s="214"/>
      <c r="AF29" s="325">
        <f>IF(OR($G29="",$AB29=""),0,IF(OR($BP29&gt;20,AND($BP29=20,$BR29&gt;0)),"20時間を",IF($BR29=0,IF($BP29=0,0,IF($BP29&gt;5,$BP29,5)),IF($BP29&lt;5,5,$BP29))))</f>
        <v>0</v>
      </c>
      <c r="AG29" s="325"/>
      <c r="AH29" s="325"/>
      <c r="AI29" s="326">
        <f>IF(OR($G29="",AB29=""),0,IF($AF29="20時間を","超えています",IF($BP29&lt;5,0,$BR29)))</f>
        <v>0</v>
      </c>
      <c r="AJ29" s="326"/>
      <c r="AK29" s="326"/>
      <c r="AL29" s="326"/>
      <c r="AM29" s="75" t="s">
        <v>47</v>
      </c>
      <c r="AN29" s="327">
        <f>IF(AF29="20時間を",0,IF(OR($G29="",$AB29=""),0,HOUR($CC29)))</f>
        <v>0</v>
      </c>
      <c r="AO29" s="327"/>
      <c r="AP29" s="327"/>
      <c r="AQ29" s="328">
        <f>IF(AF29="20時間を",0,IF(OR($G29="",AB29=""),0,MINUTE($CC29)))</f>
        <v>0</v>
      </c>
      <c r="AR29" s="328"/>
      <c r="AS29" s="38" t="s">
        <v>48</v>
      </c>
      <c r="AT29" s="76"/>
      <c r="AU29" s="76"/>
      <c r="AV29" s="38"/>
      <c r="BP29" s="323">
        <f>IF(CJ29=CF29,26,HOUR(BY29)+2)</f>
        <v>26</v>
      </c>
      <c r="BQ29" s="323"/>
      <c r="BR29" s="324" t="e">
        <f>MINUTE(BU29)</f>
        <v>#VALUE!</v>
      </c>
      <c r="BS29" s="324"/>
      <c r="BT29" s="211" t="s">
        <v>30</v>
      </c>
      <c r="BU29" s="305" t="e">
        <f>+BY29+$CN$6</f>
        <v>#VALUE!</v>
      </c>
      <c r="BV29" s="305"/>
      <c r="BW29" s="305"/>
      <c r="BX29" s="211"/>
      <c r="BY29" s="305" t="e">
        <f>CN29-CF29</f>
        <v>#VALUE!</v>
      </c>
      <c r="BZ29" s="305"/>
      <c r="CA29" s="305"/>
      <c r="CC29" s="315" t="e">
        <f>BU29-(IF($AB29&gt;$G29,IF($G29&lt;$A$17,IF($AB29&lt;=$A$17,0,IF($AB29&lt;$A$16,$AB29-$A$17,$A$16-$A$17)),IF($G29&lt;$A$16,IF($AB29&lt;$A$16,$AB29-$G29,$A$16-$G29),0)),IF($G29&gt;=$A$16,IF($AB29&lt;$A$17,0,IF($AB29&lt;$A$16,$AB29-$A$17,$A$16-$A$17)),IF($G29&gt;$A$17,IF($AB29&lt;$A$17,$A$16-$G29,($A$16-$G29)+($AB29-$A$17)),$A$16-$A$17))))</f>
        <v>#VALUE!</v>
      </c>
      <c r="CD29" s="315"/>
      <c r="CF29" s="315" t="str">
        <f>IF(AND(L29="",O29=""),"",TIME($L29,$O29,0))</f>
        <v/>
      </c>
      <c r="CG29" s="315"/>
      <c r="CH29" s="315"/>
      <c r="CJ29" s="315" t="str">
        <f>IF(AND(T29="",W29=""),"",TIME($T29,$W29,0))</f>
        <v/>
      </c>
      <c r="CK29" s="315"/>
      <c r="CL29" s="315"/>
      <c r="CN29" s="305" t="e">
        <f>IF(CF29&gt;=CJ29,CJ29+$CC$11,CJ29)</f>
        <v>#VALUE!</v>
      </c>
      <c r="CO29" s="305"/>
      <c r="CP29" s="305"/>
    </row>
    <row r="30" spans="1:94" ht="12.75" customHeight="1" thickBot="1" x14ac:dyDescent="0.25">
      <c r="A30" s="8"/>
      <c r="B30" s="8"/>
      <c r="C30" s="8"/>
      <c r="W30" s="318" t="str">
        <f>IF(OR($G29="",$AB29=""),"",IF($BP29&gt;=5,"",IF($BP29*60+$BR29&gt;0,"運転時間は最低３時間のため始業点呼・就業点呼の＋２時間で５時間となります","")))</f>
        <v/>
      </c>
      <c r="X30" s="318"/>
      <c r="Y30" s="318"/>
      <c r="Z30" s="318"/>
      <c r="AA30" s="318"/>
      <c r="AB30" s="318"/>
      <c r="AC30" s="318"/>
      <c r="AD30" s="318"/>
      <c r="AE30" s="318"/>
      <c r="AF30" s="318"/>
      <c r="AG30" s="318"/>
      <c r="AH30" s="318"/>
      <c r="AI30" s="318"/>
      <c r="AJ30" s="318"/>
      <c r="AK30" s="318"/>
      <c r="AL30" s="318"/>
      <c r="AM30" s="318"/>
      <c r="AN30" s="318"/>
    </row>
    <row r="31" spans="1:94" ht="18.75" customHeight="1" thickBot="1" x14ac:dyDescent="0.25">
      <c r="A31" s="309">
        <v>0.20833333333333334</v>
      </c>
      <c r="B31" s="309"/>
      <c r="C31" s="309"/>
      <c r="D31" s="7" t="s">
        <v>120</v>
      </c>
      <c r="E31" s="74"/>
      <c r="G31" s="310" t="str">
        <f>IF(AND($L31="",$O31=""),"",IF($L31=0,TIME(23,$O31,0),TIME($L31-1,$O31,0)))</f>
        <v/>
      </c>
      <c r="H31" s="310"/>
      <c r="I31" s="310"/>
      <c r="J31" s="260" t="s">
        <v>39</v>
      </c>
      <c r="K31" s="260"/>
      <c r="L31" s="321"/>
      <c r="M31" s="322"/>
      <c r="N31" s="5" t="s">
        <v>46</v>
      </c>
      <c r="O31" s="313"/>
      <c r="P31" s="314"/>
      <c r="Q31" s="38" t="s">
        <v>21</v>
      </c>
      <c r="R31" s="260" t="s">
        <v>39</v>
      </c>
      <c r="S31" s="260"/>
      <c r="T31" s="321"/>
      <c r="U31" s="322"/>
      <c r="V31" s="5" t="s">
        <v>46</v>
      </c>
      <c r="W31" s="313"/>
      <c r="X31" s="314"/>
      <c r="Y31" s="38" t="s">
        <v>21</v>
      </c>
      <c r="Z31" s="260" t="s">
        <v>39</v>
      </c>
      <c r="AA31" s="260"/>
      <c r="AB31" s="310" t="str">
        <f>IF(AND($T31="",$W31=""),"",TIME(T31+1,W31,0))</f>
        <v/>
      </c>
      <c r="AC31" s="310"/>
      <c r="AD31" s="310"/>
      <c r="AE31" s="214"/>
      <c r="AF31" s="325">
        <f>IF(OR($G31="",$AB31=""),0,IF(OR($BP31&gt;20,AND($BP31=20,$BR31&gt;0)),"20時間を",IF($BR31=0,IF($BP31=0,0,IF($BP31&gt;5,$BP31,5)),IF($BP31&lt;5,5,$BP31))))</f>
        <v>0</v>
      </c>
      <c r="AG31" s="325"/>
      <c r="AH31" s="325"/>
      <c r="AI31" s="326">
        <f>IF(OR($G31="",AB31=""),0,IF($AF31="20時間を","超えています",IF($BP31&lt;5,0,$BR31)))</f>
        <v>0</v>
      </c>
      <c r="AJ31" s="326"/>
      <c r="AK31" s="326"/>
      <c r="AL31" s="326"/>
      <c r="AM31" s="75" t="s">
        <v>47</v>
      </c>
      <c r="AN31" s="327">
        <f>IF(AF31="20時間を",0,IF(OR($G31="",$AB31=""),0,HOUR($CC31)))</f>
        <v>0</v>
      </c>
      <c r="AO31" s="327"/>
      <c r="AP31" s="327"/>
      <c r="AQ31" s="328">
        <f>IF(AF31="20時間を",0,IF(OR($G31="",AB31=""),0,MINUTE($CC31)))</f>
        <v>0</v>
      </c>
      <c r="AR31" s="328"/>
      <c r="AS31" s="38" t="s">
        <v>48</v>
      </c>
      <c r="AT31" s="76"/>
      <c r="AU31" s="76"/>
      <c r="AV31" s="38"/>
      <c r="BP31" s="323">
        <f>IF(CJ31=CF31,26,HOUR(BY31)+2)</f>
        <v>26</v>
      </c>
      <c r="BQ31" s="323"/>
      <c r="BR31" s="324" t="e">
        <f>MINUTE(BU31)</f>
        <v>#VALUE!</v>
      </c>
      <c r="BS31" s="324"/>
      <c r="BT31" s="211" t="s">
        <v>30</v>
      </c>
      <c r="BU31" s="305" t="e">
        <f>+BY31+$CN$6</f>
        <v>#VALUE!</v>
      </c>
      <c r="BV31" s="305"/>
      <c r="BW31" s="305"/>
      <c r="BX31" s="211"/>
      <c r="BY31" s="305" t="e">
        <f>CN31-CF31</f>
        <v>#VALUE!</v>
      </c>
      <c r="BZ31" s="305"/>
      <c r="CA31" s="305"/>
      <c r="CC31" s="315" t="e">
        <f>BU31-(IF($AB31&gt;$G31,IF($G31&lt;$A$17,IF($AB31&lt;=$A$17,0,IF($AB31&lt;$A$16,$AB31-$A$17,$A$16-$A$17)),IF($G31&lt;$A$16,IF($AB31&lt;$A$16,$AB31-$G31,$A$16-$G31),0)),IF($G31&gt;=$A$16,IF($AB31&lt;$A$17,0,IF($AB31&lt;$A$16,$AB31-$A$17,$A$16-$A$17)),IF($G31&gt;$A$17,IF($AB31&lt;$A$17,$A$16-$G31,($A$16-$G31)+($AB31-$A$17)),$A$16-$A$17))))</f>
        <v>#VALUE!</v>
      </c>
      <c r="CD31" s="315"/>
      <c r="CF31" s="315" t="str">
        <f>IF(AND(L31="",O31=""),"",TIME($L31,$O31,0))</f>
        <v/>
      </c>
      <c r="CG31" s="315"/>
      <c r="CH31" s="315"/>
      <c r="CJ31" s="315" t="str">
        <f>IF(AND(T31="",W31=""),"",TIME($T31,$W31,0))</f>
        <v/>
      </c>
      <c r="CK31" s="315"/>
      <c r="CL31" s="315"/>
      <c r="CN31" s="305" t="e">
        <f>IF(CF31&gt;=CJ31,CJ31+$CC$11,CJ31)</f>
        <v>#VALUE!</v>
      </c>
      <c r="CO31" s="305"/>
      <c r="CP31" s="305"/>
    </row>
    <row r="32" spans="1:94" ht="12.75" customHeight="1" x14ac:dyDescent="0.2">
      <c r="A32" s="8"/>
      <c r="B32" s="8"/>
      <c r="C32" s="8"/>
      <c r="W32" s="318" t="str">
        <f>IF(OR($G31="",$AB31=""),"",IF($BP31&gt;=5,"",IF($BP31*60+$BR31&gt;0,"運転時間は最低３時間のため始業点呼・就業点呼の＋２時間で５時間となります","")))</f>
        <v/>
      </c>
      <c r="X32" s="318"/>
      <c r="Y32" s="318"/>
      <c r="Z32" s="318"/>
      <c r="AA32" s="318"/>
      <c r="AB32" s="318"/>
      <c r="AC32" s="318"/>
      <c r="AD32" s="318"/>
      <c r="AE32" s="318"/>
      <c r="AF32" s="318"/>
      <c r="AG32" s="318"/>
      <c r="AH32" s="318"/>
      <c r="AI32" s="318"/>
      <c r="AJ32" s="318"/>
      <c r="AK32" s="318"/>
      <c r="AL32" s="318"/>
      <c r="AM32" s="318"/>
      <c r="AN32" s="318"/>
    </row>
    <row r="33" spans="5:86" ht="19.5" customHeight="1" x14ac:dyDescent="0.2">
      <c r="U33" s="275" t="s">
        <v>22</v>
      </c>
      <c r="V33" s="275"/>
      <c r="W33" s="275"/>
      <c r="X33" s="275"/>
      <c r="Y33" s="275"/>
      <c r="Z33" s="275"/>
      <c r="AA33" s="275"/>
      <c r="AB33" s="275"/>
      <c r="AC33" s="275"/>
      <c r="AD33" s="275"/>
      <c r="AE33" s="275"/>
      <c r="AF33" s="329">
        <f>IF(ISERROR(ROUND(((+AF13+AF15+AF17+AF19+AF21+AF23+AF25+AF27+AF29+AF31)*60+AI13+AI15+AI17+AI19+AI21+AI23+AI25+AI27+AI29+AI31)/60,0)),0,ROUND(((+AF13+AF15+AF17+AF19+AF21+AF23+AF25+AF27+AF29+AF31)*60+AI13+AI15+AI17+AI19+AI21+AI23+AI25+AI27+AI29+AI31)/60,0))</f>
        <v>8</v>
      </c>
      <c r="AG33" s="329"/>
      <c r="AH33" s="329"/>
      <c r="AI33" s="329"/>
      <c r="AK33" s="275" t="s">
        <v>38</v>
      </c>
      <c r="AL33" s="275"/>
      <c r="AM33" s="275"/>
      <c r="AN33" s="275"/>
      <c r="AO33" s="275"/>
      <c r="AP33" s="275"/>
      <c r="AQ33" s="329">
        <f>IF(ISERROR(ROUND(((AN13+AN15+AN17+AN19+AN21+AN23+AN25+AN27+AN29+AN31)*60+AQ13+AQ15+AQ17+AQ19+AQ21+AQ23+AQ25+AQ27+AQ29+AQ31)/60,0)),"",ROUND(((AN13+AN15+AN17+AN19+AN21+AN23+AN25+AN27+AN29+AN31)*60+AQ13+AQ15+AQ17+AQ19+AQ21+AQ23+AQ25+AQ27+AQ29+AQ31)/60,0))</f>
        <v>0</v>
      </c>
      <c r="AR33" s="329"/>
      <c r="AS33" s="329"/>
      <c r="AT33" s="329"/>
      <c r="AV33" s="11"/>
      <c r="AW33" s="144"/>
      <c r="BB33" s="145"/>
      <c r="BC33" s="88"/>
      <c r="BK33" s="89"/>
      <c r="BN33" s="215"/>
      <c r="BP33" s="90"/>
      <c r="BQ33" s="91"/>
      <c r="BY33" s="315">
        <f>+CC33-CF33</f>
        <v>0.83333333333333337</v>
      </c>
      <c r="BZ33" s="315"/>
      <c r="CA33" s="315"/>
      <c r="CC33" s="315">
        <v>0.95833333333333337</v>
      </c>
      <c r="CD33" s="315"/>
      <c r="CF33" s="315">
        <v>0.125</v>
      </c>
      <c r="CG33" s="315"/>
      <c r="CH33" s="315"/>
    </row>
    <row r="34" spans="5:86" ht="15" customHeight="1" x14ac:dyDescent="0.2">
      <c r="Y34" s="80"/>
      <c r="Z34" s="80"/>
      <c r="AA34" s="80"/>
      <c r="AC34" s="80"/>
      <c r="AD34" s="330" t="str">
        <f>IF(ISERROR(IF(MOD(AF13+AF15+AF17,60)&gt;0,"※３０分未満は切り捨て、３０分以上は１時間に切り上げとなります","")),"",IF(MOD(AF13+AF15+AF17,60)&gt;0,"※３０分未満は切り捨て、３０分以上は１時間に切り上げとなります",""))</f>
        <v>※３０分未満は切り捨て、３０分以上は１時間に切り上げとなります</v>
      </c>
      <c r="AE34" s="330"/>
      <c r="AF34" s="330"/>
      <c r="AG34" s="330"/>
      <c r="AH34" s="330"/>
      <c r="AI34" s="330"/>
      <c r="AJ34" s="330"/>
      <c r="AK34" s="330"/>
      <c r="AL34" s="330"/>
      <c r="AM34" s="330"/>
      <c r="AN34" s="330"/>
      <c r="AO34" s="330"/>
      <c r="AP34" s="330"/>
      <c r="AQ34" s="330"/>
      <c r="AR34" s="330"/>
      <c r="AS34" s="330"/>
      <c r="AT34" s="80"/>
      <c r="AY34" s="146"/>
      <c r="BK34" s="89"/>
      <c r="BN34" s="215"/>
      <c r="BP34" s="90"/>
      <c r="BQ34" s="91"/>
    </row>
    <row r="35" spans="5:86" ht="6" customHeight="1" x14ac:dyDescent="0.2">
      <c r="Y35" s="81"/>
      <c r="Z35" s="81"/>
      <c r="AA35" s="81"/>
      <c r="AB35" s="81"/>
      <c r="AC35" s="81"/>
      <c r="AD35" s="81"/>
      <c r="AE35" s="81"/>
      <c r="AF35" s="81"/>
      <c r="AG35" s="81"/>
      <c r="AH35" s="81"/>
      <c r="AI35" s="81"/>
      <c r="AJ35" s="81"/>
      <c r="AK35" s="81"/>
      <c r="AL35" s="81"/>
      <c r="AM35" s="81"/>
      <c r="AN35" s="81"/>
      <c r="AY35" s="146"/>
      <c r="BK35" s="89"/>
      <c r="BN35" s="215"/>
      <c r="BP35" s="90"/>
      <c r="BQ35" s="91"/>
    </row>
    <row r="36" spans="5:86" ht="14.25" customHeight="1" x14ac:dyDescent="0.2">
      <c r="M36" s="70"/>
      <c r="N36" s="331"/>
      <c r="O36" s="331"/>
      <c r="P36" s="331"/>
      <c r="Q36" s="82"/>
      <c r="R36" s="266" t="s">
        <v>7</v>
      </c>
      <c r="S36" s="266"/>
      <c r="T36" s="38"/>
      <c r="U36" s="81"/>
      <c r="V36" s="81"/>
      <c r="W36" s="81"/>
      <c r="X36" s="81"/>
      <c r="Y36" s="81"/>
      <c r="Z36" s="81"/>
      <c r="AA36" s="81"/>
      <c r="AB36" s="81"/>
      <c r="AC36" s="81"/>
      <c r="AN36" s="15"/>
      <c r="AR36" s="8"/>
      <c r="AS36" s="8"/>
      <c r="AT36" s="8"/>
      <c r="AU36" s="8"/>
      <c r="AV36" s="8"/>
      <c r="AW36" s="31"/>
      <c r="AX36" s="31"/>
      <c r="AY36" s="31"/>
      <c r="AZ36" s="89"/>
      <c r="BA36" s="31"/>
      <c r="BB36" s="31"/>
      <c r="BC36" s="215"/>
      <c r="BE36" s="90"/>
      <c r="BF36" s="91"/>
      <c r="BN36" s="332"/>
      <c r="BO36" s="333"/>
      <c r="BP36" s="333"/>
    </row>
    <row r="37" spans="5:86" ht="19.5" customHeight="1" x14ac:dyDescent="0.2">
      <c r="G37" s="5" t="s">
        <v>20</v>
      </c>
      <c r="J37" s="5" t="s">
        <v>11</v>
      </c>
      <c r="N37" s="335">
        <f ca="1">VLOOKUP($BC$12,INDIRECT(VLOOKUP($BC$5,$BR$56:$BS$65,2,FALSE)),3,FALSE)</f>
        <v>0</v>
      </c>
      <c r="O37" s="335"/>
      <c r="P37" s="335"/>
      <c r="Q37" s="199" t="s">
        <v>127</v>
      </c>
      <c r="R37" s="308">
        <f ca="1">VLOOKUP($BC$12,INDIRECT(VLOOKUP($BC$5,$BR$56:$BS$65,2,FALSE)),4,FALSE)</f>
        <v>100</v>
      </c>
      <c r="S37" s="308"/>
      <c r="T37" s="308"/>
      <c r="AJ37" s="8"/>
      <c r="AK37" s="8"/>
      <c r="AL37" s="8"/>
      <c r="AR37" s="8"/>
      <c r="AS37" s="8"/>
      <c r="AT37" s="8"/>
      <c r="AU37" s="8"/>
      <c r="AV37" s="8"/>
      <c r="AW37" s="31"/>
      <c r="AX37" s="31"/>
      <c r="AY37" s="31"/>
      <c r="AZ37" s="31"/>
      <c r="BA37" s="31"/>
      <c r="BB37" s="215"/>
    </row>
    <row r="38" spans="5:86" ht="6" customHeight="1" thickBot="1" x14ac:dyDescent="0.25">
      <c r="AV38" s="11"/>
      <c r="AW38" s="144"/>
      <c r="BM38" s="215"/>
    </row>
    <row r="39" spans="5:86" ht="19.5" customHeight="1" thickBot="1" x14ac:dyDescent="0.25">
      <c r="J39" s="5" t="s">
        <v>17</v>
      </c>
      <c r="N39" s="321">
        <v>190</v>
      </c>
      <c r="O39" s="336"/>
      <c r="P39" s="322"/>
      <c r="Q39" s="5" t="s">
        <v>18</v>
      </c>
      <c r="R39" s="337" t="str">
        <f>IF(T39="","","→")</f>
        <v/>
      </c>
      <c r="S39" s="337"/>
      <c r="T39" s="338" t="str">
        <f>IF(MOD(N39,10)&gt;0,ROUNDUP(N39,-1),"")</f>
        <v/>
      </c>
      <c r="U39" s="338"/>
      <c r="V39" s="338"/>
      <c r="W39" s="38" t="str">
        <f>IF(T39="","","㎞")</f>
        <v/>
      </c>
      <c r="X39" s="72"/>
      <c r="Y39" s="83"/>
    </row>
    <row r="40" spans="5:86" ht="15" customHeight="1" x14ac:dyDescent="0.2">
      <c r="Q40" s="84" t="str">
        <f>IF(T39="","","１０㎞未満は１０㎞に切り上げとなります")</f>
        <v/>
      </c>
      <c r="R40" s="85"/>
      <c r="S40" s="85"/>
      <c r="T40" s="85"/>
      <c r="U40" s="85"/>
      <c r="V40" s="85"/>
      <c r="W40" s="85"/>
      <c r="X40" s="85"/>
      <c r="AV40" s="11"/>
      <c r="AW40" s="144"/>
      <c r="BR40" s="31">
        <v>1</v>
      </c>
      <c r="BS40" s="31" t="s">
        <v>66</v>
      </c>
    </row>
    <row r="41" spans="5:86" ht="9.75" hidden="1" customHeight="1" x14ac:dyDescent="0.2">
      <c r="BR41" s="31">
        <v>2</v>
      </c>
      <c r="BS41" s="31" t="s">
        <v>67</v>
      </c>
    </row>
    <row r="42" spans="5:86" ht="15" hidden="1" customHeight="1" x14ac:dyDescent="0.2">
      <c r="G42" s="5" t="s">
        <v>128</v>
      </c>
      <c r="J42" s="49"/>
      <c r="K42" s="49"/>
      <c r="M42" s="207"/>
      <c r="N42" s="207"/>
      <c r="O42" s="207"/>
      <c r="P42" s="207"/>
      <c r="Q42" s="207"/>
      <c r="R42" s="207"/>
      <c r="S42" s="207"/>
      <c r="T42" s="207"/>
      <c r="U42" s="207"/>
      <c r="V42" s="207"/>
      <c r="W42" s="207"/>
      <c r="X42" s="207"/>
      <c r="Y42" s="9"/>
      <c r="Z42" s="8" t="s">
        <v>129</v>
      </c>
      <c r="AB42" s="207"/>
      <c r="AC42" s="207"/>
      <c r="AD42" s="207"/>
      <c r="AE42" s="207"/>
      <c r="AF42" s="207"/>
      <c r="AG42" s="207"/>
      <c r="AH42" s="207"/>
      <c r="AI42" s="207"/>
      <c r="AJ42" s="207"/>
      <c r="AK42" s="207"/>
      <c r="AL42" s="207"/>
      <c r="AM42" s="207"/>
      <c r="AN42" s="207"/>
      <c r="AO42" s="207"/>
      <c r="AP42" s="207"/>
      <c r="AQ42" s="207"/>
      <c r="AR42" s="207"/>
      <c r="AS42" s="207"/>
      <c r="AT42" s="194"/>
      <c r="AU42" s="194"/>
      <c r="AV42" s="194"/>
      <c r="AW42" s="148"/>
      <c r="AX42" s="148"/>
      <c r="AY42" s="101"/>
      <c r="AZ42" s="101"/>
      <c r="BA42" s="101"/>
      <c r="BB42" s="101"/>
      <c r="BR42" s="31">
        <v>3</v>
      </c>
      <c r="BS42" s="31" t="s">
        <v>68</v>
      </c>
    </row>
    <row r="43" spans="5:86" ht="15" customHeight="1" x14ac:dyDescent="0.2">
      <c r="AY43" s="101"/>
      <c r="AZ43" s="101"/>
      <c r="BA43" s="101"/>
      <c r="BB43" s="101"/>
      <c r="BC43" s="31">
        <v>0</v>
      </c>
      <c r="BR43" s="31">
        <v>4</v>
      </c>
      <c r="BS43" s="31" t="s">
        <v>69</v>
      </c>
    </row>
    <row r="44" spans="5:86" ht="18" customHeight="1" x14ac:dyDescent="0.2">
      <c r="E44" s="32" t="s">
        <v>32</v>
      </c>
      <c r="I44" s="32" t="s">
        <v>36</v>
      </c>
      <c r="AY44" s="101"/>
      <c r="AZ44" s="101"/>
      <c r="BA44" s="101"/>
      <c r="BB44" s="101"/>
      <c r="BR44" s="31">
        <v>5</v>
      </c>
      <c r="BS44" s="31" t="s">
        <v>70</v>
      </c>
    </row>
    <row r="45" spans="5:86" ht="15" customHeight="1" x14ac:dyDescent="0.2">
      <c r="K45" s="260" t="s">
        <v>12</v>
      </c>
      <c r="L45" s="260"/>
      <c r="M45" s="260"/>
      <c r="O45" s="5" t="s">
        <v>33</v>
      </c>
      <c r="S45" s="38"/>
      <c r="U45" s="260" t="s">
        <v>11</v>
      </c>
      <c r="V45" s="260"/>
      <c r="W45" s="260"/>
      <c r="Y45" s="260" t="s">
        <v>17</v>
      </c>
      <c r="Z45" s="260"/>
      <c r="AA45" s="260"/>
      <c r="AB45" s="260"/>
      <c r="AY45" s="101"/>
      <c r="AZ45" s="101"/>
      <c r="BA45" s="101"/>
      <c r="BB45" s="101"/>
      <c r="BR45" s="31">
        <v>6</v>
      </c>
      <c r="BS45" s="31" t="s">
        <v>75</v>
      </c>
    </row>
    <row r="46" spans="5:86" ht="14" hidden="1" x14ac:dyDescent="0.2">
      <c r="J46" s="194" t="s">
        <v>34</v>
      </c>
      <c r="K46" s="271">
        <f ca="1">時刻入力シート!N11</f>
        <v>0</v>
      </c>
      <c r="L46" s="271"/>
      <c r="M46" s="271"/>
      <c r="N46" s="193" t="s">
        <v>13</v>
      </c>
      <c r="O46" s="278">
        <f>+AF33</f>
        <v>8</v>
      </c>
      <c r="P46" s="278"/>
      <c r="Q46" s="278"/>
      <c r="R46" s="5" t="s">
        <v>35</v>
      </c>
      <c r="S46" s="193" t="s">
        <v>14</v>
      </c>
      <c r="T46" s="203" t="s">
        <v>34</v>
      </c>
      <c r="U46" s="271">
        <f ca="1">N37</f>
        <v>0</v>
      </c>
      <c r="V46" s="271"/>
      <c r="W46" s="271"/>
      <c r="X46" s="193" t="s">
        <v>13</v>
      </c>
      <c r="Y46" s="277">
        <f>IF($T$39="",$N$39,$T$39)</f>
        <v>190</v>
      </c>
      <c r="Z46" s="277"/>
      <c r="AA46" s="277"/>
      <c r="AB46" s="277"/>
      <c r="AC46" s="5" t="s">
        <v>35</v>
      </c>
      <c r="AD46" s="5" t="s">
        <v>16</v>
      </c>
      <c r="AF46" s="334">
        <f ca="1">IF(OR($AF$33=0,AC49,$N$39=""),"",ROUND(+K46*O46,0)+ROUND(U46*Y46,0))</f>
        <v>0</v>
      </c>
      <c r="AG46" s="334"/>
      <c r="AH46" s="334"/>
      <c r="AI46" s="334"/>
      <c r="AJ46" s="334"/>
      <c r="AK46" s="334"/>
      <c r="AL46" s="8" t="s">
        <v>130</v>
      </c>
      <c r="AP46" s="8"/>
      <c r="AY46" s="101"/>
      <c r="AZ46" s="101"/>
      <c r="BA46" s="101"/>
      <c r="BB46" s="101"/>
      <c r="BR46" s="31">
        <v>7</v>
      </c>
      <c r="BS46" s="31" t="s">
        <v>71</v>
      </c>
    </row>
    <row r="47" spans="5:86" ht="6" customHeight="1" x14ac:dyDescent="0.2">
      <c r="AX47" s="142"/>
      <c r="AY47" s="101"/>
      <c r="AZ47" s="101"/>
      <c r="BA47" s="101"/>
      <c r="BB47" s="101"/>
      <c r="BR47" s="31">
        <v>8</v>
      </c>
      <c r="BS47" s="31" t="s">
        <v>72</v>
      </c>
    </row>
    <row r="48" spans="5:86" ht="14" x14ac:dyDescent="0.2">
      <c r="J48" s="194" t="s">
        <v>34</v>
      </c>
      <c r="K48" s="271">
        <f ca="1">S11</f>
        <v>4010</v>
      </c>
      <c r="L48" s="271"/>
      <c r="M48" s="271"/>
      <c r="N48" s="193" t="s">
        <v>13</v>
      </c>
      <c r="O48" s="278">
        <f>+AF33</f>
        <v>8</v>
      </c>
      <c r="P48" s="278"/>
      <c r="Q48" s="278"/>
      <c r="R48" s="5" t="s">
        <v>35</v>
      </c>
      <c r="S48" s="193" t="s">
        <v>14</v>
      </c>
      <c r="T48" s="203" t="s">
        <v>34</v>
      </c>
      <c r="U48" s="271">
        <f ca="1">R37</f>
        <v>100</v>
      </c>
      <c r="V48" s="271"/>
      <c r="W48" s="271"/>
      <c r="X48" s="193" t="s">
        <v>13</v>
      </c>
      <c r="Y48" s="277">
        <f>IF($T$39="",N39,$T$39)</f>
        <v>190</v>
      </c>
      <c r="Z48" s="277"/>
      <c r="AA48" s="277"/>
      <c r="AB48" s="277"/>
      <c r="AC48" s="5" t="s">
        <v>35</v>
      </c>
      <c r="AD48" s="5" t="s">
        <v>16</v>
      </c>
      <c r="AF48" s="334">
        <f ca="1">IF(OR($AF$33=0,AC51,$N$39=""),"",ROUND(+K48*O48,0)+ROUND(U48*Y48,0))</f>
        <v>51080</v>
      </c>
      <c r="AG48" s="334"/>
      <c r="AH48" s="334"/>
      <c r="AI48" s="334"/>
      <c r="AJ48" s="334"/>
      <c r="AK48" s="334"/>
      <c r="AL48" s="8" t="s">
        <v>1</v>
      </c>
      <c r="AP48" s="8"/>
      <c r="AY48" s="101"/>
      <c r="AZ48" s="101"/>
      <c r="BA48" s="101"/>
      <c r="BB48" s="101"/>
      <c r="BR48" s="31">
        <v>9</v>
      </c>
      <c r="BS48" s="31" t="s">
        <v>73</v>
      </c>
    </row>
    <row r="49" spans="2:71" ht="6" customHeight="1" x14ac:dyDescent="0.2">
      <c r="AX49" s="142"/>
      <c r="AY49" s="101"/>
      <c r="AZ49" s="101"/>
      <c r="BA49" s="101"/>
      <c r="BB49" s="101"/>
      <c r="BR49" s="31">
        <v>10</v>
      </c>
      <c r="BS49" s="31" t="s">
        <v>74</v>
      </c>
    </row>
    <row r="50" spans="2:71" ht="13" hidden="1" x14ac:dyDescent="0.2">
      <c r="I50" s="341" t="str">
        <f>IF($BC$43=1,"","割引額")</f>
        <v>割引額</v>
      </c>
      <c r="J50" s="341"/>
      <c r="K50" s="341"/>
      <c r="L50" s="260" t="str">
        <f>IF($BC$43=1,"","運賃額")</f>
        <v>運賃額</v>
      </c>
      <c r="M50" s="260"/>
      <c r="N50" s="260"/>
      <c r="O50" s="260"/>
      <c r="P50" s="50"/>
      <c r="Q50" s="284" t="str">
        <f>IF($BC$43=1,"","割引率")</f>
        <v>割引率</v>
      </c>
      <c r="R50" s="284"/>
      <c r="S50" s="284"/>
      <c r="T50" s="284"/>
      <c r="U50" s="50"/>
      <c r="V50" s="50"/>
      <c r="W50" s="50"/>
      <c r="X50" s="50"/>
      <c r="Y50" s="50"/>
      <c r="Z50" s="50"/>
      <c r="AA50" s="50"/>
      <c r="AB50" s="50"/>
      <c r="AC50" s="50"/>
      <c r="AD50" s="50"/>
      <c r="AE50" s="50"/>
      <c r="AF50" s="50"/>
      <c r="AG50" s="50"/>
      <c r="AH50" s="50"/>
      <c r="AI50" s="50"/>
      <c r="AJ50" s="50"/>
      <c r="AK50" s="50"/>
      <c r="AL50" s="50"/>
      <c r="AM50" s="50"/>
      <c r="AN50" s="50"/>
      <c r="AO50" s="50"/>
      <c r="AP50" s="8"/>
      <c r="AQ50" s="50"/>
      <c r="AR50" s="207"/>
      <c r="AS50" s="50"/>
      <c r="AT50" s="50"/>
      <c r="AW50" s="147"/>
      <c r="AY50" s="101"/>
      <c r="AZ50" s="101"/>
      <c r="BA50" s="101"/>
      <c r="BB50" s="101"/>
    </row>
    <row r="51" spans="2:71" ht="14" hidden="1" x14ac:dyDescent="0.2">
      <c r="I51" s="341"/>
      <c r="J51" s="341"/>
      <c r="K51" s="341"/>
      <c r="L51" s="271">
        <f ca="1">IF($BC$43=1,"",+$AF$46)</f>
        <v>0</v>
      </c>
      <c r="M51" s="271"/>
      <c r="N51" s="271"/>
      <c r="O51" s="271"/>
      <c r="P51" s="193" t="str">
        <f>IF($BC$43=1,"","×")</f>
        <v>×</v>
      </c>
      <c r="Q51" s="285">
        <f>IF($BC$43=1,"",IF($BC$43=2,0.3,IF($BC$43=3,0.2,0)))</f>
        <v>0</v>
      </c>
      <c r="R51" s="285"/>
      <c r="S51" s="285"/>
      <c r="T51" s="285"/>
      <c r="U51" s="5" t="str">
        <f>IF($BC$43=1,"","=")</f>
        <v>=</v>
      </c>
      <c r="V51" s="334">
        <f ca="1">IF($BC$43=1,"",IF(AF46="","",ROUND($L$51*$Q$51,0)))</f>
        <v>0</v>
      </c>
      <c r="W51" s="334"/>
      <c r="X51" s="334"/>
      <c r="Y51" s="334"/>
      <c r="Z51" s="334"/>
      <c r="AU51" s="193"/>
      <c r="AW51" s="142"/>
      <c r="AY51" s="101"/>
      <c r="AZ51" s="101"/>
      <c r="BA51" s="101"/>
      <c r="BB51" s="101"/>
    </row>
    <row r="52" spans="2:71" ht="6" hidden="1" customHeight="1" x14ac:dyDescent="0.2">
      <c r="AT52" s="193"/>
      <c r="AU52" s="193"/>
      <c r="AV52" s="193"/>
      <c r="AW52" s="142"/>
      <c r="AY52" s="134"/>
      <c r="AZ52" s="101"/>
      <c r="BA52" s="101"/>
      <c r="BB52" s="101"/>
      <c r="BD52" s="215"/>
      <c r="BE52" s="215"/>
      <c r="BF52" s="215"/>
      <c r="BG52" s="215"/>
      <c r="BH52" s="215"/>
      <c r="BI52" s="215"/>
    </row>
    <row r="53" spans="2:71" ht="19.5" hidden="1" customHeight="1" x14ac:dyDescent="0.2">
      <c r="I53" s="32" t="str">
        <f>IF($BC$43=1,"","割引後運賃額")</f>
        <v>割引後運賃額</v>
      </c>
      <c r="O53" s="291">
        <f ca="1">IF($BC$43=1,"",AF46)</f>
        <v>0</v>
      </c>
      <c r="P53" s="291"/>
      <c r="Q53" s="291"/>
      <c r="R53" s="291"/>
      <c r="S53" s="291"/>
      <c r="T53" s="291"/>
      <c r="U53" s="291"/>
      <c r="V53" s="291"/>
      <c r="W53" s="193" t="str">
        <f>IF($BC$43=1,"","－")</f>
        <v>－</v>
      </c>
      <c r="X53" s="260" t="str">
        <f>IF($BC$43=1,"","割引額")</f>
        <v>割引額</v>
      </c>
      <c r="Y53" s="260"/>
      <c r="Z53" s="260"/>
      <c r="AA53" s="5" t="str">
        <f>IF($BC$43=1,"","＝")</f>
        <v>＝</v>
      </c>
      <c r="AB53" s="334">
        <f ca="1">IF($BC$43=1,"",IF(AF46-V51&gt;AF48,AF46-V51,AF48))</f>
        <v>51080</v>
      </c>
      <c r="AC53" s="334"/>
      <c r="AD53" s="334"/>
      <c r="AE53" s="334"/>
      <c r="AF53" s="334"/>
      <c r="AG53" s="334"/>
      <c r="AH53" s="334"/>
      <c r="AI53" s="8" t="str">
        <f>IF(BC43=1,"","上限額①’")</f>
        <v>上限額①’</v>
      </c>
      <c r="AY53" s="101"/>
      <c r="AZ53" s="101"/>
      <c r="BA53" s="101"/>
      <c r="BB53" s="101"/>
      <c r="BL53" s="137"/>
    </row>
    <row r="54" spans="2:71" ht="19.5" hidden="1" customHeight="1" x14ac:dyDescent="0.2">
      <c r="I54" s="32"/>
      <c r="O54" s="200"/>
      <c r="P54" s="200"/>
      <c r="Q54" s="200"/>
      <c r="R54" s="200"/>
      <c r="S54" s="200"/>
      <c r="T54" s="200"/>
      <c r="U54" s="200"/>
      <c r="V54" s="200"/>
      <c r="W54" s="193"/>
      <c r="X54" s="193"/>
      <c r="Y54" s="193"/>
      <c r="Z54" s="193"/>
      <c r="AB54" s="212"/>
      <c r="AC54" s="212"/>
      <c r="AD54" s="8" t="str">
        <f>IF(BC43=1,"","割引きは下限額を限度とします。")</f>
        <v>割引きは下限額を限度とします。</v>
      </c>
      <c r="AE54" s="212"/>
      <c r="AF54" s="212"/>
      <c r="AG54" s="212"/>
      <c r="AH54" s="212"/>
      <c r="AI54" s="8"/>
      <c r="AY54" s="101"/>
      <c r="AZ54" s="101"/>
      <c r="BA54" s="101"/>
      <c r="BB54" s="101"/>
      <c r="BL54" s="137"/>
    </row>
    <row r="55" spans="2:71" ht="19.5" hidden="1" customHeight="1" x14ac:dyDescent="0.2">
      <c r="D55" s="16"/>
      <c r="E55" s="16"/>
      <c r="F55" s="16"/>
      <c r="G55" s="16"/>
      <c r="H55" s="16"/>
      <c r="I55" s="16"/>
      <c r="J55" s="16"/>
      <c r="K55" s="16"/>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134"/>
      <c r="AY55" s="101"/>
      <c r="AZ55" s="101"/>
      <c r="BA55" s="101"/>
      <c r="BB55" s="101"/>
      <c r="BL55" s="137"/>
    </row>
    <row r="56" spans="2:71" ht="21" x14ac:dyDescent="0.2">
      <c r="B56" s="51" t="s">
        <v>40</v>
      </c>
      <c r="E56" s="86" t="s">
        <v>23</v>
      </c>
      <c r="K56" s="8" t="str">
        <f>IF($AQ$33=0,"","深夜早朝時間が発生しています")</f>
        <v/>
      </c>
      <c r="AY56" s="101"/>
      <c r="AZ56" s="101"/>
      <c r="BA56" s="101"/>
      <c r="BB56" s="101"/>
      <c r="BR56" s="31">
        <v>1</v>
      </c>
      <c r="BS56" s="31" t="s">
        <v>77</v>
      </c>
    </row>
    <row r="57" spans="2:71" ht="20.25" customHeight="1" x14ac:dyDescent="0.2">
      <c r="F57" s="9" t="str">
        <f>IF($AQ$33=0,"","上限")</f>
        <v/>
      </c>
      <c r="G57" s="9"/>
      <c r="H57" s="9"/>
      <c r="I57" s="9"/>
      <c r="J57" s="9" t="str">
        <f>IF($AQ$33=0,"","下限")</f>
        <v/>
      </c>
      <c r="Z57" s="1"/>
      <c r="AA57" s="1"/>
      <c r="AB57" s="1"/>
      <c r="AC57" s="1"/>
      <c r="AD57" s="1"/>
      <c r="AE57" s="1"/>
      <c r="AF57" s="1"/>
      <c r="AG57" s="1"/>
      <c r="AH57" s="1"/>
      <c r="AI57" s="1"/>
      <c r="AJ57" s="1"/>
      <c r="AK57" s="1"/>
      <c r="AL57" s="1"/>
      <c r="AM57" s="1"/>
      <c r="AN57" s="1"/>
      <c r="AO57" s="1"/>
      <c r="AP57" s="1"/>
      <c r="AQ57" s="1"/>
      <c r="AR57" s="1"/>
      <c r="AS57" s="1"/>
      <c r="AT57" s="1"/>
      <c r="AU57" s="1"/>
      <c r="AV57" s="1"/>
      <c r="AW57" s="145"/>
      <c r="AX57" s="145"/>
      <c r="AY57" s="135"/>
      <c r="AZ57" s="101"/>
      <c r="BA57" s="101"/>
      <c r="BB57" s="101"/>
      <c r="BR57" s="31">
        <v>2</v>
      </c>
      <c r="BS57" s="31" t="s">
        <v>78</v>
      </c>
    </row>
    <row r="58" spans="2:71" ht="19" x14ac:dyDescent="0.2">
      <c r="C58" s="5" t="str">
        <f>IF($AQ$33=0,"","割増率")</f>
        <v/>
      </c>
      <c r="F58" s="339">
        <v>20</v>
      </c>
      <c r="G58" s="339"/>
      <c r="H58" s="223" t="str">
        <f>IF($AQ$33=0,"","％")</f>
        <v/>
      </c>
      <c r="I58" s="224" t="str">
        <f>IF($AQ$33=0,"","～")</f>
        <v/>
      </c>
      <c r="J58" s="340">
        <v>20</v>
      </c>
      <c r="K58" s="340"/>
      <c r="L58" s="175" t="str">
        <f>IF($AQ$33=0,"","％")</f>
        <v/>
      </c>
      <c r="M58" s="40"/>
      <c r="N58" s="40"/>
      <c r="O58" s="40"/>
      <c r="P58" s="3"/>
      <c r="U58" s="260" t="str">
        <f>IF($AQ$33=0,"","時間単価")</f>
        <v/>
      </c>
      <c r="V58" s="260"/>
      <c r="W58" s="260"/>
      <c r="X58" s="260"/>
      <c r="Y58" s="260" t="str">
        <f>IF($AQ$33=0,"","割増率")</f>
        <v/>
      </c>
      <c r="Z58" s="260"/>
      <c r="AA58" s="260"/>
      <c r="AC58" s="260" t="str">
        <f>IF($AQ$33=0,"","深夜早朝時間計")</f>
        <v/>
      </c>
      <c r="AD58" s="260"/>
      <c r="AE58" s="260"/>
      <c r="AF58" s="260"/>
      <c r="AG58" s="260"/>
      <c r="AH58" s="260"/>
      <c r="AO58" s="13"/>
      <c r="AP58" s="13"/>
      <c r="AQ58" s="13"/>
      <c r="AR58" s="1"/>
      <c r="AS58" s="1"/>
      <c r="AU58" s="16"/>
      <c r="AV58" s="8"/>
      <c r="AW58" s="31"/>
      <c r="AX58" s="31"/>
      <c r="AY58" s="101"/>
      <c r="AZ58" s="101"/>
      <c r="BA58" s="101"/>
      <c r="BB58" s="101"/>
      <c r="BR58" s="31">
        <v>3</v>
      </c>
      <c r="BS58" s="31" t="s">
        <v>79</v>
      </c>
    </row>
    <row r="59" spans="2:71" ht="19" hidden="1" x14ac:dyDescent="0.2">
      <c r="F59" s="216"/>
      <c r="G59" s="216"/>
      <c r="H59" s="225"/>
      <c r="I59" s="226"/>
      <c r="J59" s="216"/>
      <c r="K59" s="216"/>
      <c r="L59" s="175"/>
      <c r="M59" s="40"/>
      <c r="N59" s="40"/>
      <c r="O59" s="40"/>
      <c r="P59" s="3"/>
      <c r="U59" s="193"/>
      <c r="V59" s="193"/>
      <c r="W59" s="193"/>
      <c r="X59" s="193"/>
      <c r="Y59" s="38"/>
      <c r="Z59" s="193"/>
      <c r="AA59" s="193"/>
      <c r="AC59" s="193"/>
      <c r="AD59" s="193"/>
      <c r="AE59" s="193"/>
      <c r="AF59" s="193"/>
      <c r="AG59" s="193"/>
      <c r="AO59" s="13"/>
      <c r="AP59" s="13"/>
      <c r="AQ59" s="13"/>
      <c r="AR59" s="1"/>
      <c r="AS59" s="1"/>
      <c r="AU59" s="16"/>
      <c r="AV59" s="8"/>
      <c r="AW59" s="31"/>
      <c r="AX59" s="31"/>
      <c r="AY59" s="101"/>
      <c r="AZ59" s="101"/>
      <c r="BA59" s="101"/>
      <c r="BB59" s="101"/>
      <c r="BR59" s="31">
        <v>4</v>
      </c>
      <c r="BS59" s="31" t="s">
        <v>80</v>
      </c>
    </row>
    <row r="60" spans="2:71" ht="19" hidden="1" x14ac:dyDescent="0.2">
      <c r="C60" s="5" t="str">
        <f>IF($AQ$33=0,"","[上限20％]")</f>
        <v/>
      </c>
      <c r="F60" s="213"/>
      <c r="G60" s="213"/>
      <c r="I60" s="52"/>
      <c r="J60" s="227"/>
      <c r="K60" s="40"/>
      <c r="L60" s="40"/>
      <c r="M60" s="40"/>
      <c r="N60" s="40"/>
      <c r="O60" s="40"/>
      <c r="P60" s="3"/>
      <c r="U60" s="193"/>
      <c r="V60" s="193"/>
      <c r="W60" s="193"/>
      <c r="X60" s="193"/>
      <c r="Y60" s="38"/>
      <c r="Z60" s="193"/>
      <c r="AA60" s="193"/>
      <c r="AC60" s="193"/>
      <c r="AD60" s="193"/>
      <c r="AE60" s="193"/>
      <c r="AF60" s="193"/>
      <c r="AG60" s="193"/>
      <c r="AO60" s="13"/>
      <c r="AP60" s="13"/>
      <c r="AQ60" s="13"/>
      <c r="AR60" s="1"/>
      <c r="AS60" s="1"/>
      <c r="AU60" s="16"/>
      <c r="AV60" s="8"/>
      <c r="AW60" s="31"/>
      <c r="AX60" s="31"/>
      <c r="AY60" s="101"/>
      <c r="AZ60" s="101"/>
      <c r="BA60" s="101"/>
      <c r="BB60" s="101"/>
      <c r="BR60" s="31">
        <v>5</v>
      </c>
      <c r="BS60" s="31" t="s">
        <v>81</v>
      </c>
    </row>
    <row r="61" spans="2:71" ht="19" hidden="1" x14ac:dyDescent="0.2">
      <c r="J61" s="194" t="str">
        <f>IF($AQ$33=0,"","(運    賃)")</f>
        <v/>
      </c>
      <c r="K61" s="16"/>
      <c r="L61" s="16"/>
      <c r="M61" s="21" t="str">
        <f>IF($AQ$33=0,"","（上限額)")</f>
        <v/>
      </c>
      <c r="Q61" s="16"/>
      <c r="R61" s="16"/>
      <c r="S61" s="16"/>
      <c r="T61" s="16"/>
      <c r="U61" s="271" t="str">
        <f>IF($AQ$33=0,"",N11)</f>
        <v/>
      </c>
      <c r="V61" s="271"/>
      <c r="W61" s="271"/>
      <c r="X61" s="271"/>
      <c r="Y61" s="38" t="str">
        <f>IF($AQ$33=0,"","×")</f>
        <v/>
      </c>
      <c r="Z61" s="283" t="str">
        <f>IF($AQ$33=0,"",IF(F58="","",+$F$58/100))</f>
        <v/>
      </c>
      <c r="AA61" s="283"/>
      <c r="AB61" s="38" t="str">
        <f>IF($AQ$33=0,"","×")</f>
        <v/>
      </c>
      <c r="AC61" s="278" t="str">
        <f>IF($AQ$33=0,"",$AQ$33)</f>
        <v/>
      </c>
      <c r="AD61" s="278"/>
      <c r="AE61" s="278"/>
      <c r="AF61" s="278"/>
      <c r="AG61" s="278"/>
      <c r="AH61" s="38" t="str">
        <f>IF($AQ$33=0,"","＝")</f>
        <v/>
      </c>
      <c r="AI61" s="342" t="str">
        <f>IF($AQ$33=0,"",IF(F58="","",ROUND(U61*Z61*AC61,0)))</f>
        <v/>
      </c>
      <c r="AJ61" s="342"/>
      <c r="AK61" s="342"/>
      <c r="AL61" s="342"/>
      <c r="AM61" s="342"/>
      <c r="AQ61" s="133"/>
      <c r="AR61" s="133"/>
      <c r="AS61" s="133"/>
      <c r="AT61" s="16"/>
      <c r="AU61" s="16"/>
      <c r="AV61" s="8"/>
      <c r="AW61" s="31"/>
      <c r="AX61" s="31"/>
      <c r="AY61" s="101"/>
      <c r="AZ61" s="101"/>
      <c r="BA61" s="101"/>
      <c r="BB61" s="101"/>
      <c r="BR61" s="31">
        <v>6</v>
      </c>
      <c r="BS61" s="31" t="s">
        <v>82</v>
      </c>
    </row>
    <row r="62" spans="2:71" ht="19" hidden="1" x14ac:dyDescent="0.2">
      <c r="B62" s="16"/>
      <c r="C62" s="194"/>
      <c r="J62" s="194" t="str">
        <f>IF($AQ$33=0,"",IF($BA$91=FALSE,"","(交替運転者配置料金)"))</f>
        <v/>
      </c>
      <c r="K62" s="207"/>
      <c r="L62" s="16"/>
      <c r="M62" s="21" t="str">
        <f>IF($AQ$33=0,"",IF($BA$91=FALSE,"","(上限額)"))</f>
        <v/>
      </c>
      <c r="N62" s="16"/>
      <c r="O62" s="193"/>
      <c r="P62" s="193"/>
      <c r="Q62" s="16"/>
      <c r="R62" s="16"/>
      <c r="S62" s="16"/>
      <c r="T62" s="16"/>
      <c r="U62" s="271" t="str">
        <f>IF($AQ$33=0,"",IF($BA$91=FALSE,"",J90))</f>
        <v/>
      </c>
      <c r="V62" s="271"/>
      <c r="W62" s="271"/>
      <c r="X62" s="271"/>
      <c r="Y62" s="38" t="str">
        <f>IF($AQ$33=0,"",IF($BA$91=FALSE,"","×"))</f>
        <v/>
      </c>
      <c r="Z62" s="283" t="str">
        <f>IF($AQ$33=0,"",IF(BA91=FALSE,"",IF(F58="","",$F$58/100)))</f>
        <v/>
      </c>
      <c r="AA62" s="283"/>
      <c r="AB62" s="38" t="str">
        <f>IF($AQ$33=0,"",IF($BA$91=FALSE,"","×"))</f>
        <v/>
      </c>
      <c r="AC62" s="278" t="str">
        <f>IF($AQ$33=0,"",IF($BA$91=FALSE,"",$AQ$33))</f>
        <v/>
      </c>
      <c r="AD62" s="278"/>
      <c r="AE62" s="278"/>
      <c r="AF62" s="278"/>
      <c r="AG62" s="278"/>
      <c r="AH62" s="38" t="str">
        <f>IF($AQ$33=0,"",IF($BA$91=FALSE,"","＝"))</f>
        <v/>
      </c>
      <c r="AI62" s="342" t="str">
        <f>IF($AQ$33=0,"",IF($BA$91=FALSE,"",IF(F58="","",ROUND(U62*Z62*AC62,0))))</f>
        <v/>
      </c>
      <c r="AJ62" s="342"/>
      <c r="AK62" s="342"/>
      <c r="AL62" s="342"/>
      <c r="AM62" s="342"/>
      <c r="AN62" s="6" t="str">
        <f>IF($AQ$33=0,"",IF($G$90=FALSE,"","計"))</f>
        <v/>
      </c>
      <c r="AO62" s="279" t="str">
        <f>IF($AQ$33=0,"",IF(BA91=TRUE,AI61+AI62,AI61))</f>
        <v/>
      </c>
      <c r="AP62" s="279"/>
      <c r="AQ62" s="279"/>
      <c r="AR62" s="279"/>
      <c r="AS62" s="279"/>
      <c r="AT62" s="228" t="str">
        <f>IF($AQ$33=0,"","上限額③")</f>
        <v/>
      </c>
      <c r="AU62" s="16"/>
      <c r="AV62" s="8"/>
      <c r="AW62" s="31"/>
      <c r="AX62" s="31"/>
      <c r="AY62" s="101"/>
      <c r="AZ62" s="101"/>
      <c r="BA62" s="101"/>
      <c r="BB62" s="101"/>
      <c r="BR62" s="31">
        <v>7</v>
      </c>
      <c r="BS62" s="31" t="s">
        <v>83</v>
      </c>
    </row>
    <row r="63" spans="2:71" ht="19" hidden="1" x14ac:dyDescent="0.2">
      <c r="B63" s="16"/>
      <c r="C63" s="194"/>
      <c r="J63" s="194"/>
      <c r="K63" s="207"/>
      <c r="L63" s="16"/>
      <c r="M63" s="21"/>
      <c r="N63" s="16"/>
      <c r="O63" s="193"/>
      <c r="P63" s="193"/>
      <c r="Q63" s="16"/>
      <c r="R63" s="16"/>
      <c r="S63" s="16"/>
      <c r="T63" s="16"/>
      <c r="U63" s="195"/>
      <c r="V63" s="195"/>
      <c r="W63" s="195"/>
      <c r="X63" s="195"/>
      <c r="Y63" s="38"/>
      <c r="Z63" s="196"/>
      <c r="AA63" s="196"/>
      <c r="AB63" s="38"/>
      <c r="AC63" s="197"/>
      <c r="AD63" s="197"/>
      <c r="AE63" s="197"/>
      <c r="AF63" s="197"/>
      <c r="AG63" s="197"/>
      <c r="AH63" s="38"/>
      <c r="AI63" s="221"/>
      <c r="AJ63" s="221"/>
      <c r="AK63" s="221"/>
      <c r="AL63" s="221"/>
      <c r="AM63" s="221"/>
      <c r="AN63" s="6"/>
      <c r="AO63" s="198"/>
      <c r="AP63" s="198"/>
      <c r="AQ63" s="198"/>
      <c r="AR63" s="198"/>
      <c r="AS63" s="198"/>
      <c r="AT63" s="228"/>
      <c r="AU63" s="16"/>
      <c r="AV63" s="8"/>
      <c r="AW63" s="31"/>
      <c r="AX63" s="31"/>
      <c r="AY63" s="101"/>
      <c r="AZ63" s="101"/>
      <c r="BA63" s="101"/>
      <c r="BB63" s="101"/>
      <c r="BR63" s="31">
        <v>8</v>
      </c>
      <c r="BS63" s="31" t="s">
        <v>84</v>
      </c>
    </row>
    <row r="64" spans="2:71" ht="19" hidden="1" x14ac:dyDescent="0.2">
      <c r="J64" s="194" t="str">
        <f>IF($AQ$33=0,"","(運    賃)")</f>
        <v/>
      </c>
      <c r="K64" s="16"/>
      <c r="L64" s="16"/>
      <c r="M64" s="21" t="str">
        <f>IF($AQ$33=0,"","(下限額)")</f>
        <v/>
      </c>
      <c r="N64" s="16"/>
      <c r="Q64" s="16"/>
      <c r="R64" s="16"/>
      <c r="S64" s="16"/>
      <c r="T64" s="16"/>
      <c r="U64" s="271" t="str">
        <f>IF($AQ$33=0,"",S11)</f>
        <v/>
      </c>
      <c r="V64" s="271"/>
      <c r="W64" s="271"/>
      <c r="X64" s="271"/>
      <c r="Y64" s="38" t="str">
        <f>IF($AQ$33=0,"","×")</f>
        <v/>
      </c>
      <c r="Z64" s="283" t="str">
        <f>IF($AQ$33=0,"",IF(F58="","",+$F$58/100))</f>
        <v/>
      </c>
      <c r="AA64" s="283"/>
      <c r="AB64" s="38" t="str">
        <f>IF($AQ$33=0,"","×")</f>
        <v/>
      </c>
      <c r="AC64" s="278" t="str">
        <f>IF($AQ$33=0,"",$AQ$33)</f>
        <v/>
      </c>
      <c r="AD64" s="278"/>
      <c r="AE64" s="278"/>
      <c r="AF64" s="278"/>
      <c r="AG64" s="278"/>
      <c r="AH64" s="38" t="str">
        <f>IF($AQ$33=0,"","＝")</f>
        <v/>
      </c>
      <c r="AI64" s="342" t="str">
        <f>IF($AQ$33=0,"",IF(F58="","",ROUND(U64*Z64*AC64,0)))</f>
        <v/>
      </c>
      <c r="AJ64" s="342"/>
      <c r="AK64" s="342"/>
      <c r="AL64" s="342"/>
      <c r="AM64" s="342"/>
      <c r="AQ64" s="133"/>
      <c r="AR64" s="133"/>
      <c r="AS64" s="133"/>
      <c r="AT64" s="16"/>
      <c r="AU64" s="16"/>
      <c r="AV64" s="8"/>
      <c r="AW64" s="31"/>
      <c r="AX64" s="31"/>
      <c r="AY64" s="101"/>
      <c r="AZ64" s="101"/>
      <c r="BA64" s="101"/>
      <c r="BB64" s="101"/>
      <c r="BR64" s="31">
        <v>9</v>
      </c>
      <c r="BS64" s="31" t="s">
        <v>85</v>
      </c>
    </row>
    <row r="65" spans="2:71" ht="19" hidden="1" x14ac:dyDescent="0.2">
      <c r="B65" s="16"/>
      <c r="C65" s="194"/>
      <c r="J65" s="194" t="str">
        <f>IF($AQ$33=0,"",IF($BA$91=FALSE,"","(交替運転者配置料金)"))</f>
        <v/>
      </c>
      <c r="K65" s="207"/>
      <c r="L65" s="16"/>
      <c r="M65" s="21" t="str">
        <f>IF($AQ$33=0,"",IF($BA$91=FALSE,"","(下限額)"))</f>
        <v/>
      </c>
      <c r="O65" s="193"/>
      <c r="P65" s="193"/>
      <c r="Q65" s="16"/>
      <c r="R65" s="16"/>
      <c r="S65" s="16"/>
      <c r="T65" s="16"/>
      <c r="U65" s="271" t="str">
        <f>IF($AQ$33=0,"",IF($BA$91=FALSE,"",N90))</f>
        <v/>
      </c>
      <c r="V65" s="271"/>
      <c r="W65" s="271"/>
      <c r="X65" s="271"/>
      <c r="Y65" s="38" t="str">
        <f>IF($AQ$33=0,"",IF($BA$91=FALSE,"","×"))</f>
        <v/>
      </c>
      <c r="Z65" s="280" t="str">
        <f>IF($AQ$33=0,"",IF(BA91=FALSE,"",IF(F58="","",$F$58/100)))</f>
        <v/>
      </c>
      <c r="AA65" s="280"/>
      <c r="AB65" s="38" t="str">
        <f>IF($AQ$33=0,"",IF($BA$91=FALSE,"","×"))</f>
        <v/>
      </c>
      <c r="AC65" s="278" t="str">
        <f>IF($AQ$33=0,"",IF($BA$91=FALSE,"",$AQ$33))</f>
        <v/>
      </c>
      <c r="AD65" s="278"/>
      <c r="AE65" s="278"/>
      <c r="AF65" s="278"/>
      <c r="AG65" s="278"/>
      <c r="AH65" s="38" t="str">
        <f>IF($AQ$33=0,"",IF($BA$91=FALSE,"","＝"))</f>
        <v/>
      </c>
      <c r="AI65" s="342" t="str">
        <f>IF($AQ$33=0,"",IF($BA$91=FALSE,"",IF(F58="","",ROUND(U65*Z65*AC65,0))))</f>
        <v/>
      </c>
      <c r="AJ65" s="342"/>
      <c r="AK65" s="342"/>
      <c r="AL65" s="342"/>
      <c r="AM65" s="342"/>
      <c r="AN65" s="6" t="str">
        <f>IF($AQ$33=0,"",IF($G$90=FALSE,"","計"))</f>
        <v/>
      </c>
      <c r="AO65" s="279" t="str">
        <f>IF($AQ$33=0,"",IF(BA91=TRUE,AI64+AI65,AI64))</f>
        <v/>
      </c>
      <c r="AP65" s="279"/>
      <c r="AQ65" s="279"/>
      <c r="AR65" s="279"/>
      <c r="AS65" s="279"/>
      <c r="AT65" s="205" t="str">
        <f>IF($AQ$33=0,"","下限額④")</f>
        <v/>
      </c>
      <c r="AU65" s="16"/>
      <c r="AV65" s="8"/>
      <c r="AW65" s="31"/>
      <c r="AX65" s="31"/>
      <c r="AY65" s="101"/>
      <c r="AZ65" s="101"/>
      <c r="BA65" s="101"/>
      <c r="BB65" s="101"/>
      <c r="BR65" s="31">
        <v>10</v>
      </c>
      <c r="BS65" s="31" t="s">
        <v>86</v>
      </c>
    </row>
    <row r="66" spans="2:71" ht="13.5" hidden="1" customHeight="1" x14ac:dyDescent="0.2">
      <c r="B66" s="16"/>
      <c r="C66" s="194"/>
      <c r="J66" s="194"/>
      <c r="K66" s="207"/>
      <c r="L66" s="16"/>
      <c r="M66" s="21"/>
      <c r="O66" s="193"/>
      <c r="P66" s="193"/>
      <c r="Q66" s="16"/>
      <c r="R66" s="16"/>
      <c r="S66" s="16"/>
      <c r="T66" s="16"/>
      <c r="U66" s="195"/>
      <c r="V66" s="195"/>
      <c r="W66" s="195"/>
      <c r="X66" s="195"/>
      <c r="Y66" s="38"/>
      <c r="Z66" s="204"/>
      <c r="AA66" s="204"/>
      <c r="AB66" s="38"/>
      <c r="AC66" s="197"/>
      <c r="AD66" s="197"/>
      <c r="AE66" s="197"/>
      <c r="AF66" s="197"/>
      <c r="AG66" s="197"/>
      <c r="AH66" s="38"/>
      <c r="AI66" s="221"/>
      <c r="AJ66" s="221"/>
      <c r="AK66" s="221"/>
      <c r="AL66" s="221"/>
      <c r="AM66" s="221"/>
      <c r="AN66" s="6"/>
      <c r="AO66" s="198"/>
      <c r="AP66" s="198"/>
      <c r="AQ66" s="198"/>
      <c r="AR66" s="198"/>
      <c r="AS66" s="198"/>
      <c r="AT66" s="205"/>
      <c r="AU66" s="16"/>
      <c r="AV66" s="8"/>
      <c r="AW66" s="31"/>
      <c r="AX66" s="31"/>
      <c r="AY66" s="101"/>
      <c r="AZ66" s="101"/>
      <c r="BA66" s="101"/>
      <c r="BB66" s="101"/>
    </row>
    <row r="67" spans="2:71" ht="19" hidden="1" x14ac:dyDescent="0.2">
      <c r="B67" s="16"/>
      <c r="C67" s="229" t="str">
        <f>IF($AQ$33=0,"","[20％]")</f>
        <v/>
      </c>
      <c r="J67" s="194"/>
      <c r="K67" s="207"/>
      <c r="L67" s="16"/>
      <c r="M67" s="21"/>
      <c r="O67" s="193"/>
      <c r="P67" s="193"/>
      <c r="Q67" s="16"/>
      <c r="R67" s="16"/>
      <c r="S67" s="16"/>
      <c r="T67" s="16"/>
      <c r="U67" s="195"/>
      <c r="V67" s="195"/>
      <c r="W67" s="195"/>
      <c r="X67" s="195"/>
      <c r="Y67" s="38"/>
      <c r="Z67" s="204"/>
      <c r="AA67" s="204"/>
      <c r="AB67" s="38"/>
      <c r="AC67" s="197"/>
      <c r="AD67" s="197"/>
      <c r="AE67" s="197"/>
      <c r="AF67" s="197"/>
      <c r="AG67" s="197"/>
      <c r="AH67" s="38"/>
      <c r="AI67" s="221"/>
      <c r="AJ67" s="221"/>
      <c r="AK67" s="221"/>
      <c r="AL67" s="221"/>
      <c r="AM67" s="221"/>
      <c r="AN67" s="6"/>
      <c r="AO67" s="198"/>
      <c r="AP67" s="198"/>
      <c r="AQ67" s="198"/>
      <c r="AR67" s="198"/>
      <c r="AS67" s="198"/>
      <c r="AT67" s="205"/>
      <c r="AU67" s="16"/>
      <c r="AV67" s="8"/>
      <c r="AW67" s="31"/>
      <c r="AX67" s="31"/>
      <c r="AY67" s="101"/>
      <c r="AZ67" s="101"/>
      <c r="BA67" s="101"/>
      <c r="BB67" s="101"/>
    </row>
    <row r="68" spans="2:71" ht="20.25" hidden="1" customHeight="1" x14ac:dyDescent="0.2">
      <c r="B68" s="16"/>
      <c r="J68" s="194" t="str">
        <f>IF($AQ$33=0,"","(運    賃)")</f>
        <v/>
      </c>
      <c r="K68" s="16"/>
      <c r="L68" s="16"/>
      <c r="M68" s="21" t="str">
        <f>IF($AQ$33=0,"","（上限額)")</f>
        <v/>
      </c>
      <c r="Q68" s="16"/>
      <c r="R68" s="16"/>
      <c r="S68" s="16"/>
      <c r="T68" s="16"/>
      <c r="U68" s="271" t="str">
        <f>IF($AQ$33=0,"",N11)</f>
        <v/>
      </c>
      <c r="V68" s="271"/>
      <c r="W68" s="271"/>
      <c r="X68" s="271"/>
      <c r="Y68" s="38" t="str">
        <f>IF($AQ$33=0,"","×")</f>
        <v/>
      </c>
      <c r="Z68" s="283" t="str">
        <f>IF($AQ$33=0,"",IF(J58="","",+$J$58/100))</f>
        <v/>
      </c>
      <c r="AA68" s="283"/>
      <c r="AB68" s="38" t="str">
        <f>IF($AQ$33=0,"","×")</f>
        <v/>
      </c>
      <c r="AC68" s="278" t="str">
        <f>IF($AQ$33=0,"",$AQ$33)</f>
        <v/>
      </c>
      <c r="AD68" s="278"/>
      <c r="AE68" s="278"/>
      <c r="AF68" s="278"/>
      <c r="AG68" s="278"/>
      <c r="AH68" s="38" t="str">
        <f>IF($AQ$33=0,"","＝")</f>
        <v/>
      </c>
      <c r="AI68" s="342" t="str">
        <f>IF($AQ$33=0,"",IF(J58="","",ROUND(U68*Z68*AC68,0)))</f>
        <v/>
      </c>
      <c r="AJ68" s="342"/>
      <c r="AK68" s="342"/>
      <c r="AL68" s="342"/>
      <c r="AM68" s="342"/>
      <c r="AQ68" s="133"/>
      <c r="AR68" s="133"/>
      <c r="AS68" s="133"/>
      <c r="AT68" s="16"/>
      <c r="AU68" s="16"/>
      <c r="AV68" s="8"/>
      <c r="AW68" s="31"/>
      <c r="AX68" s="31"/>
      <c r="AY68" s="101"/>
      <c r="AZ68" s="101"/>
      <c r="BA68" s="101"/>
      <c r="BB68" s="101"/>
    </row>
    <row r="69" spans="2:71" ht="25.5" hidden="1" customHeight="1" x14ac:dyDescent="0.2">
      <c r="B69" s="16"/>
      <c r="C69" s="194"/>
      <c r="J69" s="194" t="str">
        <f>IF($AQ$33=0,"",IF($BA$91=FALSE,"","(交替運転者配置料金)"))</f>
        <v/>
      </c>
      <c r="K69" s="207"/>
      <c r="L69" s="16"/>
      <c r="M69" s="21" t="str">
        <f>IF($AQ$33=0,"",IF($BA$91=FALSE,"","(上限額)"))</f>
        <v/>
      </c>
      <c r="N69" s="16"/>
      <c r="O69" s="193"/>
      <c r="P69" s="193"/>
      <c r="Q69" s="16"/>
      <c r="R69" s="16"/>
      <c r="S69" s="16"/>
      <c r="T69" s="16"/>
      <c r="U69" s="271" t="str">
        <f>IF($AQ$33=0,"",IF($BA$91=FALSE,"",J90))</f>
        <v/>
      </c>
      <c r="V69" s="271"/>
      <c r="W69" s="271"/>
      <c r="X69" s="271"/>
      <c r="Y69" s="38" t="str">
        <f>IF($AQ$33=0,"",IF($BA$91=FALSE,"","×"))</f>
        <v/>
      </c>
      <c r="Z69" s="283" t="str">
        <f>IF($AQ$33=0,"",IF(BA91=FALSE,"",IF(J58="","",$J$58/100)))</f>
        <v/>
      </c>
      <c r="AA69" s="283"/>
      <c r="AB69" s="38" t="str">
        <f>IF($AQ$33=0,"",IF($BA$91=FALSE,"","×"))</f>
        <v/>
      </c>
      <c r="AC69" s="278" t="str">
        <f>IF($AQ$33=0,"",IF($BA$91=FALSE,"",$AQ$33))</f>
        <v/>
      </c>
      <c r="AD69" s="278"/>
      <c r="AE69" s="278"/>
      <c r="AF69" s="278"/>
      <c r="AG69" s="278"/>
      <c r="AH69" s="38" t="str">
        <f>IF($AQ$33=0,"",IF($BA$91=FALSE,"","＝"))</f>
        <v/>
      </c>
      <c r="AI69" s="342" t="str">
        <f>IF($AQ$33=0,"",IF($BA$91=FALSE,"",IF(J58="","",ROUND(U69*Z69*AC69,0))))</f>
        <v/>
      </c>
      <c r="AJ69" s="342"/>
      <c r="AK69" s="342"/>
      <c r="AL69" s="342"/>
      <c r="AM69" s="342"/>
      <c r="AN69" s="6" t="str">
        <f>IF($AQ$33=0,"",IF($G$90=FALSE,"","計"))</f>
        <v/>
      </c>
      <c r="AO69" s="279" t="str">
        <f>IF($AQ$33=0,"",IF(BA91=TRUE,AI68+AI69,AI68))</f>
        <v/>
      </c>
      <c r="AP69" s="279"/>
      <c r="AQ69" s="279"/>
      <c r="AR69" s="279"/>
      <c r="AS69" s="279"/>
      <c r="AT69" s="228" t="str">
        <f>IF($AQ$33=0,"","上限額③'")</f>
        <v/>
      </c>
      <c r="AU69" s="16"/>
      <c r="AV69" s="8"/>
      <c r="AW69" s="31"/>
      <c r="AX69" s="31"/>
      <c r="AY69" s="101"/>
      <c r="AZ69" s="101"/>
      <c r="BA69" s="101"/>
      <c r="BB69" s="101"/>
    </row>
    <row r="70" spans="2:71" ht="25.5" hidden="1" customHeight="1" x14ac:dyDescent="0.2">
      <c r="B70" s="16"/>
      <c r="C70" s="194"/>
      <c r="J70" s="194"/>
      <c r="K70" s="207"/>
      <c r="L70" s="16"/>
      <c r="M70" s="21"/>
      <c r="N70" s="16"/>
      <c r="O70" s="193"/>
      <c r="P70" s="193"/>
      <c r="Q70" s="16"/>
      <c r="R70" s="16"/>
      <c r="S70" s="16"/>
      <c r="T70" s="16"/>
      <c r="U70" s="195"/>
      <c r="V70" s="195"/>
      <c r="W70" s="195"/>
      <c r="X70" s="195"/>
      <c r="Y70" s="38"/>
      <c r="Z70" s="196"/>
      <c r="AA70" s="196"/>
      <c r="AB70" s="38"/>
      <c r="AC70" s="197"/>
      <c r="AD70" s="197"/>
      <c r="AE70" s="197"/>
      <c r="AF70" s="197"/>
      <c r="AG70" s="197"/>
      <c r="AH70" s="38"/>
      <c r="AI70" s="221"/>
      <c r="AJ70" s="221"/>
      <c r="AK70" s="221"/>
      <c r="AL70" s="221"/>
      <c r="AM70" s="221"/>
      <c r="AN70" s="6"/>
      <c r="AO70" s="198"/>
      <c r="AP70" s="198"/>
      <c r="AQ70" s="198"/>
      <c r="AR70" s="198"/>
      <c r="AS70" s="198"/>
      <c r="AT70" s="228"/>
      <c r="AU70" s="16"/>
      <c r="AV70" s="8"/>
      <c r="AW70" s="31"/>
      <c r="AX70" s="31"/>
      <c r="AY70" s="101"/>
      <c r="AZ70" s="101"/>
      <c r="BA70" s="101"/>
      <c r="BB70" s="101"/>
    </row>
    <row r="71" spans="2:71" ht="14.25" customHeight="1" x14ac:dyDescent="0.2">
      <c r="B71" s="16"/>
      <c r="J71" s="194" t="str">
        <f>IF($AQ$33=0,"","(運    賃)")</f>
        <v/>
      </c>
      <c r="K71" s="16"/>
      <c r="L71" s="16"/>
      <c r="M71" s="21" t="str">
        <f>IF($AQ$33=0,"","(下限額)")</f>
        <v/>
      </c>
      <c r="N71" s="16"/>
      <c r="Q71" s="16"/>
      <c r="R71" s="16"/>
      <c r="S71" s="16"/>
      <c r="T71" s="16"/>
      <c r="U71" s="271" t="str">
        <f>IF($AQ$33=0,"",S11)</f>
        <v/>
      </c>
      <c r="V71" s="271"/>
      <c r="W71" s="271"/>
      <c r="X71" s="271"/>
      <c r="Y71" s="38" t="str">
        <f>IF($AQ$33=0,"","×")</f>
        <v/>
      </c>
      <c r="Z71" s="283" t="str">
        <f>IF($AQ$33=0,"",IF(J58="","",+$J$58/100))</f>
        <v/>
      </c>
      <c r="AA71" s="283"/>
      <c r="AB71" s="38" t="str">
        <f>IF($AQ$33=0,"","×")</f>
        <v/>
      </c>
      <c r="AC71" s="278" t="str">
        <f>IF($AQ$33=0,"",$AQ$33)</f>
        <v/>
      </c>
      <c r="AD71" s="278"/>
      <c r="AE71" s="278"/>
      <c r="AF71" s="278"/>
      <c r="AG71" s="278"/>
      <c r="AH71" s="38" t="str">
        <f>IF($AQ$33=0,"","＝")</f>
        <v/>
      </c>
      <c r="AI71" s="342" t="str">
        <f>IF($AQ$33=0,"",IF(J61="","",ROUND(U71*Z71*AC71,0)))</f>
        <v/>
      </c>
      <c r="AJ71" s="342"/>
      <c r="AK71" s="342"/>
      <c r="AL71" s="342"/>
      <c r="AM71" s="342"/>
      <c r="AQ71" s="133"/>
      <c r="AR71" s="133"/>
      <c r="AS71" s="133"/>
      <c r="AT71" s="16"/>
      <c r="AU71" s="16"/>
      <c r="AV71" s="8"/>
      <c r="AW71" s="31"/>
      <c r="AX71" s="31"/>
      <c r="AY71" s="101"/>
      <c r="AZ71" s="101"/>
      <c r="BA71" s="101"/>
      <c r="BB71" s="101"/>
    </row>
    <row r="72" spans="2:71" ht="19" x14ac:dyDescent="0.2">
      <c r="C72" s="194"/>
      <c r="J72" s="194" t="str">
        <f>IF($AQ$33=0,"",IF($BA$91=FALSE,"","(交替運転者配置料金)"))</f>
        <v/>
      </c>
      <c r="K72" s="207"/>
      <c r="L72" s="16"/>
      <c r="M72" s="21" t="str">
        <f>IF($AQ$33=0,"",IF($BA$91=FALSE,"","(下限額)"))</f>
        <v/>
      </c>
      <c r="O72" s="193"/>
      <c r="P72" s="193"/>
      <c r="Q72" s="16"/>
      <c r="R72" s="16"/>
      <c r="S72" s="16"/>
      <c r="T72" s="16"/>
      <c r="U72" s="271" t="str">
        <f>IF($AQ$33=0,"",IF($BA$91=FALSE,"",N90))</f>
        <v/>
      </c>
      <c r="V72" s="271"/>
      <c r="W72" s="271"/>
      <c r="X72" s="271"/>
      <c r="Y72" s="38" t="str">
        <f>IF($AQ$33=0,"",IF($BA$91=FALSE,"","×"))</f>
        <v/>
      </c>
      <c r="Z72" s="280" t="str">
        <f>IF($AQ$33=0,"",IF(BA91=FALSE,"",IF(J58="","",$J$58/100)))</f>
        <v/>
      </c>
      <c r="AA72" s="280"/>
      <c r="AB72" s="38" t="str">
        <f>IF($AQ$33=0,"",IF($BA$91=FALSE,"","×"))</f>
        <v/>
      </c>
      <c r="AC72" s="278" t="str">
        <f>IF($AQ$33=0,"",IF($BA$91=FALSE,"",$AQ$33))</f>
        <v/>
      </c>
      <c r="AD72" s="278"/>
      <c r="AE72" s="278"/>
      <c r="AF72" s="278"/>
      <c r="AG72" s="278"/>
      <c r="AH72" s="38" t="str">
        <f>IF($AQ$33=0,"",IF($BA$91=FALSE,"","＝"))</f>
        <v/>
      </c>
      <c r="AI72" s="342" t="str">
        <f>IF($AQ$33=0,"",IF($BA$91=FALSE,"",IF(J58="","",ROUND(U72*Z72*AC72,0))))</f>
        <v/>
      </c>
      <c r="AJ72" s="342"/>
      <c r="AK72" s="342"/>
      <c r="AL72" s="342"/>
      <c r="AM72" s="342"/>
      <c r="AN72" s="6" t="str">
        <f>IF($AQ$33=0,"",IF($G$90=FALSE,"","計"))</f>
        <v/>
      </c>
      <c r="AO72" s="279" t="str">
        <f>IF($AQ$33=0,"",IF(BA91=TRUE,AI71+AI72,AI71))</f>
        <v/>
      </c>
      <c r="AP72" s="279"/>
      <c r="AQ72" s="279"/>
      <c r="AR72" s="279"/>
      <c r="AS72" s="279"/>
      <c r="AT72" s="205" t="s">
        <v>131</v>
      </c>
      <c r="AU72" s="16"/>
      <c r="AV72" s="8"/>
      <c r="AW72" s="230"/>
      <c r="AX72" s="230"/>
      <c r="AY72" s="101"/>
      <c r="AZ72" s="101"/>
      <c r="BA72" s="101"/>
      <c r="BB72" s="101"/>
    </row>
    <row r="73" spans="2:71" ht="19" x14ac:dyDescent="0.2">
      <c r="C73" s="194"/>
      <c r="J73" s="194"/>
      <c r="K73" s="207"/>
      <c r="L73" s="16"/>
      <c r="M73" s="21"/>
      <c r="O73" s="193"/>
      <c r="P73" s="193"/>
      <c r="Q73" s="16"/>
      <c r="R73" s="16"/>
      <c r="S73" s="16"/>
      <c r="T73" s="16"/>
      <c r="U73" s="195"/>
      <c r="V73" s="195"/>
      <c r="W73" s="195"/>
      <c r="X73" s="195"/>
      <c r="Y73" s="38"/>
      <c r="Z73" s="204"/>
      <c r="AA73" s="204"/>
      <c r="AB73" s="38"/>
      <c r="AC73" s="197"/>
      <c r="AD73" s="197"/>
      <c r="AE73" s="197"/>
      <c r="AF73" s="197"/>
      <c r="AG73" s="197"/>
      <c r="AH73" s="38"/>
      <c r="AI73" s="221"/>
      <c r="AJ73" s="221"/>
      <c r="AK73" s="221"/>
      <c r="AL73" s="221"/>
      <c r="AM73" s="221"/>
      <c r="AN73" s="6"/>
      <c r="AO73" s="198"/>
      <c r="AP73" s="198"/>
      <c r="AQ73" s="198"/>
      <c r="AR73" s="198"/>
      <c r="AS73" s="198"/>
      <c r="AT73" s="205"/>
      <c r="AU73" s="16"/>
      <c r="AV73" s="8"/>
      <c r="AW73" s="145"/>
      <c r="AX73" s="145"/>
      <c r="AY73" s="101"/>
      <c r="AZ73" s="101"/>
      <c r="BA73" s="101"/>
      <c r="BB73" s="101"/>
    </row>
    <row r="74" spans="2:71" ht="19" x14ac:dyDescent="0.2">
      <c r="C74" s="8"/>
      <c r="E74" s="86" t="s">
        <v>24</v>
      </c>
      <c r="K74" s="3"/>
      <c r="AI74" s="3"/>
      <c r="AJ74" s="3"/>
      <c r="AY74" s="101"/>
      <c r="AZ74" s="101"/>
      <c r="BA74" s="101"/>
      <c r="BB74" s="101"/>
    </row>
    <row r="75" spans="2:71" ht="25.5" customHeight="1" thickBot="1" x14ac:dyDescent="0.25">
      <c r="C75" s="8"/>
      <c r="D75" s="58" t="s">
        <v>110</v>
      </c>
      <c r="AJ75" s="3"/>
      <c r="AY75" s="101"/>
      <c r="AZ75" s="101"/>
      <c r="BA75" s="101"/>
      <c r="BB75" s="101"/>
    </row>
    <row r="76" spans="2:71" ht="25.5" hidden="1" customHeight="1" thickBot="1" x14ac:dyDescent="0.25">
      <c r="C76" s="8"/>
      <c r="D76" s="58"/>
      <c r="M76" s="9" t="str">
        <f>IF(BA78=FALSE,"","上限")</f>
        <v/>
      </c>
      <c r="N76" s="9"/>
      <c r="O76" s="9"/>
      <c r="P76" s="9"/>
      <c r="Q76" s="5" t="str">
        <f>IF(BA78=FALSE,"","下限")</f>
        <v/>
      </c>
      <c r="AJ76" s="3"/>
      <c r="AY76" s="101"/>
      <c r="AZ76" s="101"/>
      <c r="BA76" s="101"/>
      <c r="BB76" s="101"/>
    </row>
    <row r="77" spans="2:71" ht="19.5" thickBot="1" x14ac:dyDescent="0.25">
      <c r="G77" s="282"/>
      <c r="H77" s="282"/>
      <c r="J77" s="5" t="str">
        <f>IF(BA78=FALSE,"","割増率")</f>
        <v/>
      </c>
      <c r="M77" s="339">
        <v>50</v>
      </c>
      <c r="N77" s="339"/>
      <c r="O77" s="223" t="str">
        <f>IF(BA78=FALSE,"","％")</f>
        <v/>
      </c>
      <c r="P77" s="224" t="str">
        <f>IF(BA78=FALSE,"","～")</f>
        <v/>
      </c>
      <c r="Q77" s="347">
        <v>50</v>
      </c>
      <c r="R77" s="348"/>
      <c r="S77" s="3" t="str">
        <f>IF(BA78=FALSE,"","％")</f>
        <v/>
      </c>
      <c r="T77" s="349" t="s">
        <v>123</v>
      </c>
      <c r="U77" s="350"/>
      <c r="V77" s="350"/>
      <c r="W77" s="350"/>
      <c r="X77" s="350"/>
      <c r="Y77" s="350"/>
      <c r="Z77" s="350"/>
      <c r="AA77" s="350"/>
      <c r="AB77" s="350"/>
      <c r="AC77" s="350"/>
      <c r="AD77" s="350"/>
      <c r="AE77" s="350"/>
      <c r="AF77" s="350"/>
      <c r="AG77" s="350"/>
      <c r="AY77" s="101"/>
      <c r="AZ77" s="101"/>
      <c r="BA77" s="101"/>
      <c r="BB77" s="101"/>
    </row>
    <row r="78" spans="2:71" ht="19" x14ac:dyDescent="0.2">
      <c r="C78" s="9" t="str">
        <f>IF($BA$78=FALSE,"","[上限50％]")</f>
        <v/>
      </c>
      <c r="D78" s="9"/>
      <c r="E78" s="9"/>
      <c r="P78" s="1"/>
      <c r="Y78" s="185"/>
      <c r="Z78" s="185"/>
      <c r="AA78" s="185"/>
      <c r="AB78" s="185"/>
      <c r="AC78" s="185"/>
      <c r="AD78" s="185"/>
      <c r="AE78" s="185"/>
      <c r="AF78" s="185"/>
      <c r="AG78" s="185"/>
      <c r="AH78" s="185"/>
      <c r="AI78" s="185"/>
      <c r="AJ78" s="185"/>
      <c r="AK78" s="185"/>
      <c r="AL78" s="185"/>
      <c r="AM78" s="185"/>
      <c r="AN78" s="185"/>
      <c r="AO78" s="185"/>
      <c r="AP78" s="185"/>
      <c r="AQ78" s="185"/>
      <c r="AR78" s="185"/>
      <c r="AY78" s="150"/>
      <c r="AZ78" s="150"/>
      <c r="BA78" s="131" t="b">
        <v>0</v>
      </c>
      <c r="BB78" s="149"/>
    </row>
    <row r="79" spans="2:71" ht="19" x14ac:dyDescent="0.2">
      <c r="C79" s="9"/>
      <c r="D79" s="231"/>
      <c r="E79" s="231"/>
      <c r="F79" s="185"/>
      <c r="G79" s="351" t="str">
        <f>IF(BA78=FALSE,"","運賃")</f>
        <v/>
      </c>
      <c r="H79" s="351"/>
      <c r="I79" s="351"/>
      <c r="J79" s="351"/>
      <c r="K79" s="185"/>
      <c r="L79" s="351" t="str">
        <f>IF(BA78=FALSE,"","割増率")</f>
        <v/>
      </c>
      <c r="M79" s="351"/>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Y79" s="135"/>
      <c r="AZ79" s="101"/>
      <c r="BA79" s="101"/>
      <c r="BB79" s="149"/>
    </row>
    <row r="80" spans="2:71" ht="19" hidden="1" x14ac:dyDescent="0.2">
      <c r="C80" s="9"/>
      <c r="D80" s="231"/>
      <c r="E80" s="231"/>
      <c r="F80" s="343" t="str">
        <f>IF(BA78=FALSE,"",IF(BC43=1,AF46,AB53))</f>
        <v/>
      </c>
      <c r="G80" s="343"/>
      <c r="H80" s="343"/>
      <c r="I80" s="343"/>
      <c r="J80" s="343"/>
      <c r="K80" s="232" t="str">
        <f>IF(BA78=FALSE,"","×")</f>
        <v/>
      </c>
      <c r="L80" s="344" t="str">
        <f>IF(BA78=FALSE,"",IF(M77="","",$M$77/100))</f>
        <v/>
      </c>
      <c r="M80" s="344"/>
      <c r="N80" s="233"/>
      <c r="O80" s="141" t="str">
        <f>IF(BA78=FALSE,"","=")</f>
        <v/>
      </c>
      <c r="P80" s="345" t="str">
        <f>IF(BA78=FALSE,"",IF(ISERROR(ROUND(F80*L80,0)),"",ROUND(F80*L80,0)))</f>
        <v/>
      </c>
      <c r="Q80" s="345"/>
      <c r="R80" s="345"/>
      <c r="S80" s="345"/>
      <c r="T80" s="345"/>
      <c r="U80" s="345"/>
      <c r="V80" s="345"/>
      <c r="W80" s="185" t="str">
        <f>IF(BA78=FALSE,"","上限額⑤")</f>
        <v/>
      </c>
      <c r="X80" s="141"/>
      <c r="Y80" s="141"/>
      <c r="Z80" s="141"/>
      <c r="AA80" s="185"/>
      <c r="AB80" s="185"/>
      <c r="AC80" s="195"/>
      <c r="AD80" s="195"/>
      <c r="AE80" s="196"/>
      <c r="AF80" s="196"/>
      <c r="AG80" s="196"/>
      <c r="AI80" s="222"/>
      <c r="AJ80" s="222"/>
      <c r="AK80" s="222"/>
      <c r="AL80" s="222"/>
      <c r="AM80" s="222"/>
      <c r="AN80" s="222"/>
      <c r="AO80" s="222"/>
      <c r="AP80" s="8"/>
      <c r="AY80" s="135"/>
      <c r="AZ80" s="101"/>
      <c r="BA80" s="101"/>
      <c r="BB80" s="149"/>
    </row>
    <row r="81" spans="1:62" ht="19" hidden="1" x14ac:dyDescent="0.2">
      <c r="C81" s="9"/>
      <c r="D81" s="9"/>
      <c r="E81" s="9"/>
      <c r="F81" s="271" t="str">
        <f>IF(BA78=FALSE,"",IF(BC43=1,AF48,AF48))</f>
        <v/>
      </c>
      <c r="G81" s="271"/>
      <c r="H81" s="271"/>
      <c r="I81" s="271"/>
      <c r="J81" s="271"/>
      <c r="K81" s="195" t="str">
        <f>IF(BA78=FALSE,"","×")</f>
        <v/>
      </c>
      <c r="L81" s="283" t="str">
        <f>IF(BA78=FALSE,"",IF(M77="","",$M$77/100))</f>
        <v/>
      </c>
      <c r="M81" s="283"/>
      <c r="N81" s="168"/>
      <c r="O81" s="5" t="str">
        <f>IF(BA78=FALSE,"","=")</f>
        <v/>
      </c>
      <c r="P81" s="346" t="str">
        <f>IF(BA78=FALSE,"",IF(ISERROR(ROUND(F81*L81,0)),"",ROUND(F81*L81,0)))</f>
        <v/>
      </c>
      <c r="Q81" s="346"/>
      <c r="R81" s="346"/>
      <c r="S81" s="346"/>
      <c r="T81" s="346"/>
      <c r="U81" s="346"/>
      <c r="V81" s="346"/>
      <c r="W81" s="8" t="str">
        <f>IF(BA78=FALSE,"","下限額⑥")</f>
        <v/>
      </c>
      <c r="AA81" s="195"/>
      <c r="AB81" s="195"/>
      <c r="AC81" s="195"/>
      <c r="AD81" s="195"/>
      <c r="AE81" s="196"/>
      <c r="AF81" s="196"/>
      <c r="AG81" s="196"/>
      <c r="AI81" s="222"/>
      <c r="AJ81" s="222"/>
      <c r="AK81" s="222"/>
      <c r="AL81" s="222"/>
      <c r="AM81" s="222"/>
      <c r="AN81" s="222"/>
      <c r="AO81" s="222"/>
      <c r="AP81" s="8"/>
      <c r="AY81" s="135"/>
      <c r="AZ81" s="101"/>
      <c r="BA81" s="101"/>
      <c r="BB81" s="149"/>
    </row>
    <row r="82" spans="1:62" ht="19" hidden="1" x14ac:dyDescent="0.2">
      <c r="C82" s="9" t="str">
        <f>IF($BA$78=FALSE,"","[下限1％]")</f>
        <v/>
      </c>
      <c r="D82" s="9"/>
      <c r="E82" s="9"/>
      <c r="P82" s="1"/>
      <c r="Y82" s="195"/>
      <c r="Z82" s="195"/>
      <c r="AA82" s="195"/>
      <c r="AB82" s="195"/>
      <c r="AC82" s="195"/>
      <c r="AD82" s="195"/>
      <c r="AE82" s="196"/>
      <c r="AF82" s="196"/>
      <c r="AG82" s="196"/>
      <c r="AI82" s="222"/>
      <c r="AJ82" s="222"/>
      <c r="AK82" s="222"/>
      <c r="AL82" s="222"/>
      <c r="AM82" s="222"/>
      <c r="AN82" s="222"/>
      <c r="AO82" s="222"/>
      <c r="AP82" s="8"/>
      <c r="AY82" s="135"/>
      <c r="AZ82" s="101"/>
      <c r="BA82" s="101"/>
      <c r="BB82" s="149"/>
    </row>
    <row r="83" spans="1:62" ht="19" hidden="1" x14ac:dyDescent="0.2">
      <c r="D83" s="185"/>
      <c r="E83" s="185"/>
      <c r="F83" s="271" t="str">
        <f>IF(BA78=FALSE,"",IF(BC43=1,AF46,AB53))</f>
        <v/>
      </c>
      <c r="G83" s="271"/>
      <c r="H83" s="271"/>
      <c r="I83" s="271"/>
      <c r="J83" s="271"/>
      <c r="K83" s="195" t="str">
        <f>IF(BA78=FALSE,"","×")</f>
        <v/>
      </c>
      <c r="L83" s="283" t="str">
        <f>IF(BA78=FALSE,"",IF(Q77="","",$Q$77/100))</f>
        <v/>
      </c>
      <c r="M83" s="283"/>
      <c r="N83" s="168"/>
      <c r="O83" s="5" t="str">
        <f>IF(BA78=FALSE,"","=")</f>
        <v/>
      </c>
      <c r="P83" s="346" t="str">
        <f>IF(BA78=FALSE,"",IF(ISERROR(ROUND(F83*L83,0)),"",ROUND(F83*L83,0)))</f>
        <v/>
      </c>
      <c r="Q83" s="346"/>
      <c r="R83" s="346"/>
      <c r="S83" s="346"/>
      <c r="T83" s="346"/>
      <c r="U83" s="346"/>
      <c r="V83" s="346"/>
      <c r="W83" s="8" t="str">
        <f>IF(BA78=FALSE,"","上限額⑤'")</f>
        <v/>
      </c>
      <c r="Z83" s="195"/>
      <c r="AA83" s="195"/>
      <c r="AB83" s="195"/>
      <c r="AC83" s="195"/>
      <c r="AD83" s="195"/>
      <c r="AE83" s="196"/>
      <c r="AF83" s="196"/>
      <c r="AG83" s="196"/>
      <c r="AI83" s="222"/>
      <c r="AJ83" s="222"/>
      <c r="AK83" s="222"/>
      <c r="AL83" s="222"/>
      <c r="AM83" s="222"/>
      <c r="AN83" s="222"/>
      <c r="AO83" s="222"/>
      <c r="AP83" s="8"/>
      <c r="AY83" s="135"/>
      <c r="AZ83" s="101"/>
      <c r="BA83" s="101"/>
      <c r="BB83" s="149"/>
    </row>
    <row r="84" spans="1:62" ht="19" x14ac:dyDescent="0.2">
      <c r="D84" s="185"/>
      <c r="E84" s="185"/>
      <c r="F84" s="271" t="str">
        <f>IF(BA78=FALSE,"",IF(BC43=1,AF48,AF48))</f>
        <v/>
      </c>
      <c r="G84" s="271"/>
      <c r="H84" s="271"/>
      <c r="I84" s="271"/>
      <c r="J84" s="271"/>
      <c r="K84" s="195" t="str">
        <f>IF(BA78=FALSE,"","×")</f>
        <v/>
      </c>
      <c r="L84" s="283" t="str">
        <f>IF(BA78=FALSE,"",IF(Q77="","",$Q$77/100))</f>
        <v/>
      </c>
      <c r="M84" s="283"/>
      <c r="N84" s="168"/>
      <c r="O84" s="5" t="str">
        <f>IF(BA78=FALSE,"","=")</f>
        <v/>
      </c>
      <c r="P84" s="346" t="str">
        <f>IF(BA78=FALSE,"",IF(ISERROR(ROUND(F84*L84,0)),"",ROUND(F84*L84,0)))</f>
        <v/>
      </c>
      <c r="Q84" s="346"/>
      <c r="R84" s="346"/>
      <c r="S84" s="346"/>
      <c r="T84" s="346"/>
      <c r="U84" s="346"/>
      <c r="V84" s="346"/>
      <c r="W84" s="8" t="s">
        <v>132</v>
      </c>
      <c r="Z84" s="195"/>
      <c r="AA84" s="195"/>
      <c r="AB84" s="195"/>
      <c r="AC84" s="195"/>
      <c r="AD84" s="195"/>
      <c r="AE84" s="196"/>
      <c r="AF84" s="196"/>
      <c r="AG84" s="196"/>
      <c r="AI84" s="222"/>
      <c r="AJ84" s="222"/>
      <c r="AK84" s="222"/>
      <c r="AL84" s="222"/>
      <c r="AM84" s="222"/>
      <c r="AN84" s="222"/>
      <c r="AO84" s="222"/>
      <c r="AP84" s="8"/>
      <c r="AY84" s="135"/>
      <c r="AZ84" s="101"/>
      <c r="BA84" s="101"/>
      <c r="BB84" s="149"/>
    </row>
    <row r="85" spans="1:62" ht="19" x14ac:dyDescent="0.2">
      <c r="P85" s="1"/>
      <c r="Y85" s="195"/>
      <c r="Z85" s="195"/>
      <c r="AA85" s="195"/>
      <c r="AB85" s="195"/>
      <c r="AC85" s="195"/>
      <c r="AD85" s="195"/>
      <c r="AE85" s="196"/>
      <c r="AF85" s="196"/>
      <c r="AG85" s="196"/>
      <c r="AI85" s="222"/>
      <c r="AJ85" s="222"/>
      <c r="AK85" s="222"/>
      <c r="AL85" s="222"/>
      <c r="AM85" s="222"/>
      <c r="AN85" s="222"/>
      <c r="AO85" s="222"/>
      <c r="AP85" s="87"/>
      <c r="AY85" s="101"/>
      <c r="AZ85" s="101"/>
      <c r="BA85" s="101"/>
      <c r="BB85" s="149"/>
    </row>
    <row r="86" spans="1:62" ht="19" x14ac:dyDescent="0.2">
      <c r="A86" s="8"/>
      <c r="B86" s="8"/>
      <c r="E86" s="122" t="s">
        <v>25</v>
      </c>
      <c r="M86" s="3"/>
      <c r="AY86" s="101"/>
      <c r="AZ86" s="101"/>
      <c r="BA86" s="101"/>
      <c r="BB86" s="101"/>
    </row>
    <row r="87" spans="1:62" ht="13" x14ac:dyDescent="0.2">
      <c r="A87" s="8"/>
      <c r="B87" s="8"/>
      <c r="D87" s="352" t="s">
        <v>111</v>
      </c>
      <c r="E87" s="352"/>
      <c r="F87" s="352"/>
      <c r="G87" s="352"/>
      <c r="H87" s="352"/>
      <c r="I87" s="352"/>
      <c r="J87" s="352"/>
      <c r="K87" s="352"/>
      <c r="L87" s="352"/>
      <c r="M87" s="352"/>
      <c r="N87" s="352"/>
      <c r="O87" s="352"/>
      <c r="P87" s="352"/>
      <c r="Q87" s="352"/>
      <c r="R87" s="352"/>
      <c r="S87" s="352"/>
      <c r="T87" s="352"/>
      <c r="AY87" s="101"/>
      <c r="AZ87" s="101"/>
      <c r="BA87" s="101"/>
      <c r="BB87" s="101"/>
    </row>
    <row r="88" spans="1:62" ht="13" x14ac:dyDescent="0.2">
      <c r="A88" s="8"/>
      <c r="B88" s="8"/>
      <c r="D88" s="352"/>
      <c r="E88" s="352"/>
      <c r="F88" s="352"/>
      <c r="G88" s="352"/>
      <c r="H88" s="352"/>
      <c r="I88" s="352"/>
      <c r="J88" s="352"/>
      <c r="K88" s="352"/>
      <c r="L88" s="352"/>
      <c r="M88" s="352"/>
      <c r="N88" s="352"/>
      <c r="O88" s="352"/>
      <c r="P88" s="352"/>
      <c r="Q88" s="352"/>
      <c r="R88" s="352"/>
      <c r="S88" s="352"/>
      <c r="T88" s="352"/>
      <c r="Y88" s="16"/>
      <c r="Z88" s="16"/>
      <c r="AA88" s="16"/>
      <c r="AB88" s="16"/>
      <c r="AC88" s="16"/>
      <c r="AD88" s="16"/>
      <c r="AE88" s="16"/>
      <c r="AY88" s="101"/>
      <c r="AZ88" s="101"/>
      <c r="BA88" s="101"/>
      <c r="BB88" s="101"/>
      <c r="BC88" s="138"/>
      <c r="BJ88" s="139"/>
    </row>
    <row r="89" spans="1:62" ht="13" hidden="1" x14ac:dyDescent="0.2">
      <c r="A89" s="8"/>
      <c r="B89" s="8"/>
      <c r="D89" s="220"/>
      <c r="E89" s="220"/>
      <c r="F89" s="220"/>
      <c r="G89" s="220"/>
      <c r="H89" s="220"/>
      <c r="I89" s="220"/>
      <c r="J89" s="331" t="str">
        <f>IF(BA91=FALSE,"","上限額")</f>
        <v/>
      </c>
      <c r="K89" s="331"/>
      <c r="L89" s="331"/>
      <c r="M89" s="59"/>
      <c r="N89" s="331" t="str">
        <f>IF(BA91=FALSE,"","下限額")</f>
        <v/>
      </c>
      <c r="O89" s="331"/>
      <c r="P89" s="331"/>
      <c r="AN89" s="8"/>
      <c r="AO89" s="8"/>
      <c r="AP89" s="8"/>
      <c r="AQ89" s="8"/>
      <c r="AR89" s="8"/>
      <c r="AS89" s="8"/>
      <c r="AT89" s="8"/>
      <c r="AU89" s="8"/>
      <c r="AV89" s="8"/>
      <c r="AW89" s="31"/>
      <c r="AX89" s="31"/>
      <c r="AY89" s="101"/>
      <c r="AZ89" s="101"/>
      <c r="BA89" s="101"/>
      <c r="BB89" s="101"/>
      <c r="BC89" s="138"/>
      <c r="BJ89" s="139"/>
    </row>
    <row r="90" spans="1:62" ht="13" x14ac:dyDescent="0.2">
      <c r="A90" s="8"/>
      <c r="G90" s="353" t="str">
        <f>IF(BA91=FALSE,"","時間単価")</f>
        <v/>
      </c>
      <c r="H90" s="353"/>
      <c r="I90" s="353"/>
      <c r="J90" s="354" t="str">
        <f ca="1">IF(BA91=FALSE,"",INDEX(INDIRECT(VLOOKUP(BC5,BD91:BF102,2,FALSE)),2,1))</f>
        <v/>
      </c>
      <c r="K90" s="354"/>
      <c r="L90" s="354"/>
      <c r="M90" s="199" t="str">
        <f>IF(BA91=FALSE,"","～")</f>
        <v/>
      </c>
      <c r="N90" s="273" t="str">
        <f ca="1">IF(BA91=FALSE,"",INDEX(INDIRECT(VLOOKUP(BC5,BD91:BF102,2,FALSE)),2,2))</f>
        <v/>
      </c>
      <c r="O90" s="273"/>
      <c r="P90" s="273"/>
      <c r="Q90" s="210"/>
      <c r="AO90" s="8"/>
      <c r="AP90" s="8"/>
      <c r="AQ90" s="8"/>
      <c r="AR90" s="8"/>
      <c r="AS90" s="8"/>
      <c r="AT90" s="8"/>
      <c r="AU90" s="8"/>
      <c r="AV90" s="8"/>
      <c r="AW90" s="31"/>
      <c r="AX90" s="31"/>
      <c r="AY90" s="101"/>
      <c r="AZ90" s="101"/>
      <c r="BA90" s="101"/>
      <c r="BB90" s="101"/>
      <c r="BC90" s="138"/>
      <c r="BJ90" s="139"/>
    </row>
    <row r="91" spans="1:62" ht="13" x14ac:dyDescent="0.2">
      <c r="A91" s="8"/>
      <c r="C91" s="8"/>
      <c r="F91" s="207"/>
      <c r="G91" s="207"/>
      <c r="H91" s="207"/>
      <c r="J91" s="9"/>
      <c r="K91" s="9"/>
      <c r="L91" s="9"/>
      <c r="M91" s="9"/>
      <c r="AN91" s="8"/>
      <c r="AO91" s="8"/>
      <c r="AP91" s="8"/>
      <c r="AQ91" s="8"/>
      <c r="AR91" s="8"/>
      <c r="AS91" s="8"/>
      <c r="AT91" s="8"/>
      <c r="AU91" s="8"/>
      <c r="AV91" s="8"/>
      <c r="AW91" s="31"/>
      <c r="AX91" s="31"/>
      <c r="AY91" s="101"/>
      <c r="AZ91" s="101"/>
      <c r="BA91" s="132" t="b">
        <v>0</v>
      </c>
      <c r="BB91" s="101"/>
      <c r="BD91" s="31">
        <v>1</v>
      </c>
      <c r="BE91" s="31" t="s">
        <v>98</v>
      </c>
    </row>
    <row r="92" spans="1:62" ht="13" x14ac:dyDescent="0.2">
      <c r="A92" s="8"/>
      <c r="C92" s="8"/>
      <c r="G92" s="353" t="str">
        <f>IF(BA91=FALSE,"","キロ単価")</f>
        <v/>
      </c>
      <c r="H92" s="353"/>
      <c r="I92" s="353"/>
      <c r="J92" s="354" t="str">
        <f ca="1">IF(BA91=FALSE,"",INDEX(INDIRECT(VLOOKUP(BC5,BD91:BF101,2,FALSE)),1,1))</f>
        <v/>
      </c>
      <c r="K92" s="354"/>
      <c r="L92" s="354"/>
      <c r="M92" s="199" t="str">
        <f>IF(BA91=FALSE,"","～")</f>
        <v/>
      </c>
      <c r="N92" s="273" t="str">
        <f ca="1">IF(BA91=FALSE,"",INDEX(INDIRECT(VLOOKUP(BC5,BD91:BF101,2,FALSE)),1,2))</f>
        <v/>
      </c>
      <c r="O92" s="273"/>
      <c r="P92" s="273"/>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9" hidden="1" x14ac:dyDescent="0.2">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9" hidden="1" x14ac:dyDescent="0.2">
      <c r="A94" s="8"/>
      <c r="J94" s="260" t="str">
        <f>IF(BA91=FALSE,"","時間単価")</f>
        <v/>
      </c>
      <c r="K94" s="260"/>
      <c r="L94" s="260"/>
      <c r="M94" s="1"/>
      <c r="N94" s="260" t="str">
        <f>IF(BA91=FALSE,"","総拘束時間")</f>
        <v/>
      </c>
      <c r="O94" s="260"/>
      <c r="P94" s="260"/>
      <c r="R94" s="260" t="str">
        <f>IF(BA91=FALSE,"","キロ単価")</f>
        <v/>
      </c>
      <c r="S94" s="260"/>
      <c r="T94" s="260"/>
      <c r="U94" s="260"/>
      <c r="W94" s="260" t="str">
        <f>IF(BA91=FALSE,"","走行距離")</f>
        <v/>
      </c>
      <c r="X94" s="260"/>
      <c r="Y94" s="260"/>
      <c r="AJ94" s="6"/>
      <c r="AK94" s="6"/>
      <c r="AL94" s="6"/>
      <c r="AM94" s="6"/>
      <c r="AN94" s="6"/>
      <c r="AO94" s="6"/>
      <c r="AP94" s="6"/>
      <c r="AQ94" s="6"/>
      <c r="AR94" s="6"/>
      <c r="AT94" s="38"/>
      <c r="AY94" s="101"/>
      <c r="AZ94" s="101"/>
      <c r="BA94" s="101"/>
      <c r="BB94" s="101"/>
      <c r="BD94" s="31">
        <v>4</v>
      </c>
      <c r="BE94" s="31" t="s">
        <v>101</v>
      </c>
    </row>
    <row r="95" spans="1:62" ht="19" hidden="1" x14ac:dyDescent="0.2">
      <c r="A95" s="8"/>
      <c r="J95" s="271" t="str">
        <f>IF(BA91=FALSE,"",+$J$90)</f>
        <v/>
      </c>
      <c r="K95" s="271"/>
      <c r="L95" s="271"/>
      <c r="M95" s="5" t="str">
        <f>IF(BA91=FALSE,"","×")</f>
        <v/>
      </c>
      <c r="N95" s="272" t="str">
        <f>IF(BA91=FALSE,"",+AF33)</f>
        <v/>
      </c>
      <c r="O95" s="272"/>
      <c r="P95" s="272"/>
      <c r="Q95" s="5" t="str">
        <f>IF(BA91=FALSE,"","＋")</f>
        <v/>
      </c>
      <c r="R95" s="271" t="str">
        <f>IF(BA91=FALSE,"",+$J$92)</f>
        <v/>
      </c>
      <c r="S95" s="271"/>
      <c r="T95" s="271"/>
      <c r="U95" s="271"/>
      <c r="V95" s="5" t="str">
        <f>IF(BC102=FALSE,"","×")</f>
        <v/>
      </c>
      <c r="W95" s="277" t="str">
        <f>IF(BA91=FALSE,"",IF($T$39="",$N$39,$T$39))</f>
        <v/>
      </c>
      <c r="X95" s="277"/>
      <c r="Y95" s="277"/>
      <c r="Z95" s="5" t="str">
        <f>IF(BA91=FALSE,"","＝")</f>
        <v/>
      </c>
      <c r="AA95" s="355" t="str">
        <f>IF(BA91=FALSE,"",IF(OR(J90="",$AF$33=0,J92="",$N$39=""),"",ROUND(+$J$95*$N$95,0)+ROUND($R$95*$W$95,0)))</f>
        <v/>
      </c>
      <c r="AB95" s="355"/>
      <c r="AC95" s="355"/>
      <c r="AD95" s="355"/>
      <c r="AE95" s="355"/>
      <c r="AF95" s="355"/>
      <c r="AG95" s="355"/>
      <c r="AH95" s="8" t="str">
        <f>IF(BA91=FALSE,"","上限額⑦")</f>
        <v/>
      </c>
      <c r="AJ95" s="16"/>
      <c r="AK95" s="6"/>
      <c r="AL95" s="6"/>
      <c r="AM95" s="6"/>
      <c r="AN95" s="6"/>
      <c r="AO95" s="6"/>
      <c r="AP95" s="6"/>
      <c r="AQ95" s="6"/>
      <c r="AR95" s="6"/>
      <c r="AT95" s="38"/>
      <c r="AY95" s="101"/>
      <c r="AZ95" s="101"/>
      <c r="BA95" s="101"/>
      <c r="BB95" s="101"/>
      <c r="BD95" s="31">
        <v>5</v>
      </c>
      <c r="BE95" s="31" t="s">
        <v>102</v>
      </c>
    </row>
    <row r="96" spans="1:62" ht="19" x14ac:dyDescent="0.2">
      <c r="A96" s="8"/>
      <c r="N96" s="6"/>
      <c r="O96" s="6"/>
      <c r="P96" s="6"/>
      <c r="R96" s="11"/>
      <c r="S96" s="11"/>
      <c r="AK96" s="6"/>
      <c r="AL96" s="6"/>
      <c r="AM96" s="6"/>
      <c r="AN96" s="6"/>
      <c r="AO96" s="6"/>
      <c r="AP96" s="6"/>
      <c r="AQ96" s="6"/>
      <c r="AR96" s="6"/>
      <c r="AT96" s="38"/>
      <c r="AY96" s="101"/>
      <c r="AZ96" s="101"/>
      <c r="BA96" s="101"/>
      <c r="BB96" s="101"/>
      <c r="BD96" s="31">
        <v>6</v>
      </c>
      <c r="BE96" s="31" t="s">
        <v>103</v>
      </c>
    </row>
    <row r="97" spans="1:57" ht="13" x14ac:dyDescent="0.2">
      <c r="A97" s="8"/>
      <c r="J97" s="260" t="str">
        <f>IF(BA91=FALSE,"","時間単価")</f>
        <v/>
      </c>
      <c r="K97" s="260"/>
      <c r="L97" s="260"/>
      <c r="M97" s="1"/>
      <c r="N97" s="260" t="str">
        <f>IF(BA91=FALSE,"","総拘束時間")</f>
        <v/>
      </c>
      <c r="O97" s="260"/>
      <c r="P97" s="260"/>
      <c r="R97" s="260" t="str">
        <f>IF(BA91=FALSE,"","キロ単価")</f>
        <v/>
      </c>
      <c r="S97" s="260"/>
      <c r="T97" s="260"/>
      <c r="U97" s="260"/>
      <c r="W97" s="260" t="str">
        <f>IF(BA91=FALSE,"","走行距離")</f>
        <v/>
      </c>
      <c r="X97" s="260"/>
      <c r="Y97" s="260"/>
      <c r="AJ97" s="16"/>
      <c r="AK97" s="1"/>
      <c r="AL97" s="1"/>
      <c r="AM97" s="1"/>
      <c r="AN97" s="1"/>
      <c r="AO97" s="1"/>
      <c r="AP97" s="1"/>
      <c r="AQ97" s="1"/>
      <c r="AR97" s="1"/>
      <c r="AY97" s="101"/>
      <c r="AZ97" s="101"/>
      <c r="BA97" s="101"/>
      <c r="BB97" s="101"/>
      <c r="BD97" s="31">
        <v>7</v>
      </c>
      <c r="BE97" s="31" t="s">
        <v>104</v>
      </c>
    </row>
    <row r="98" spans="1:57" ht="19" x14ac:dyDescent="0.2">
      <c r="A98" s="8"/>
      <c r="J98" s="271" t="str">
        <f>IF(BA91=FALSE,"",+$N$90)</f>
        <v/>
      </c>
      <c r="K98" s="271"/>
      <c r="L98" s="271"/>
      <c r="M98" s="5" t="str">
        <f>IF(BA91=FALSE,"","×")</f>
        <v/>
      </c>
      <c r="N98" s="272" t="str">
        <f>IF(BA91=FALSE,"",+AF33)</f>
        <v/>
      </c>
      <c r="O98" s="272"/>
      <c r="P98" s="272"/>
      <c r="Q98" s="5" t="str">
        <f>IF(BA91=FALSE,"","＋")</f>
        <v/>
      </c>
      <c r="R98" s="271" t="str">
        <f>IF(BA91=FALSE,"",+$N$92)</f>
        <v/>
      </c>
      <c r="S98" s="271"/>
      <c r="T98" s="271"/>
      <c r="U98" s="271"/>
      <c r="V98" s="5" t="str">
        <f>IF(BA91=FALSE,"","×")</f>
        <v/>
      </c>
      <c r="W98" s="277" t="str">
        <f>IF(BA91=FALSE,"",IF($T$39="",$N$39,$T$39))</f>
        <v/>
      </c>
      <c r="X98" s="277"/>
      <c r="Y98" s="277"/>
      <c r="Z98" s="5" t="str">
        <f>IF(BA91=FALSE,"","＝")</f>
        <v/>
      </c>
      <c r="AA98" s="355" t="str">
        <f>IF(BA91=FALSE,"",IF(OR(N90="",$AF$33=0,N92="",$N$39=""),"",ROUND(+$J$98*$N$98,0)+ROUND($R$98*$W$98,0)))</f>
        <v/>
      </c>
      <c r="AB98" s="355"/>
      <c r="AC98" s="355"/>
      <c r="AD98" s="355"/>
      <c r="AE98" s="355"/>
      <c r="AF98" s="355"/>
      <c r="AG98" s="355"/>
      <c r="AH98" s="59" t="s">
        <v>133</v>
      </c>
      <c r="AJ98" s="16"/>
      <c r="AK98" s="59"/>
      <c r="AL98" s="59"/>
      <c r="AM98" s="1"/>
      <c r="AN98" s="1"/>
      <c r="AO98" s="1"/>
      <c r="AP98" s="1"/>
      <c r="AQ98" s="1"/>
      <c r="AR98" s="1"/>
      <c r="AY98" s="101"/>
      <c r="AZ98" s="101"/>
      <c r="BA98" s="101"/>
      <c r="BB98" s="101"/>
      <c r="BD98" s="31">
        <v>7</v>
      </c>
      <c r="BE98" s="31" t="s">
        <v>104</v>
      </c>
    </row>
    <row r="99" spans="1:57" ht="19" hidden="1" x14ac:dyDescent="0.2">
      <c r="A99" s="8"/>
      <c r="J99" s="195"/>
      <c r="K99" s="195"/>
      <c r="L99" s="195"/>
      <c r="N99" s="209"/>
      <c r="O99" s="209"/>
      <c r="P99" s="209"/>
      <c r="R99" s="195"/>
      <c r="S99" s="195"/>
      <c r="T99" s="195"/>
      <c r="U99" s="195"/>
      <c r="W99" s="206"/>
      <c r="X99" s="206"/>
      <c r="Y99" s="206"/>
      <c r="AA99" s="217"/>
      <c r="AB99" s="217"/>
      <c r="AC99" s="217"/>
      <c r="AD99" s="217"/>
      <c r="AE99" s="217"/>
      <c r="AF99" s="217"/>
      <c r="AG99" s="217"/>
      <c r="AH99" s="59"/>
      <c r="AJ99" s="16"/>
      <c r="AK99" s="59"/>
      <c r="AL99" s="59"/>
      <c r="AM99" s="1"/>
      <c r="AN99" s="1"/>
      <c r="AO99" s="1"/>
      <c r="AP99" s="1"/>
      <c r="AQ99" s="1"/>
      <c r="AR99" s="1"/>
      <c r="AY99" s="101"/>
      <c r="AZ99" s="101"/>
      <c r="BA99" s="101"/>
      <c r="BB99" s="101"/>
      <c r="BD99" s="31">
        <v>8</v>
      </c>
      <c r="BE99" s="31" t="s">
        <v>105</v>
      </c>
    </row>
    <row r="100" spans="1:57" ht="19" hidden="1" x14ac:dyDescent="0.2">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t="13" hidden="1" x14ac:dyDescent="0.2">
      <c r="B101" s="270" t="s">
        <v>6</v>
      </c>
      <c r="C101" s="270"/>
      <c r="D101" s="270"/>
      <c r="E101" s="270"/>
      <c r="F101" s="38"/>
      <c r="G101" s="38"/>
      <c r="H101" s="275" t="s">
        <v>42</v>
      </c>
      <c r="I101" s="275"/>
      <c r="J101" s="275"/>
      <c r="K101" s="275"/>
      <c r="L101" s="274">
        <f ca="1">IF(ISERROR(+R$105+X$105+AD$105+AK$105),"",+R$105+X$105+AD$105+AK$105)</f>
        <v>0</v>
      </c>
      <c r="M101" s="274"/>
      <c r="N101" s="274"/>
      <c r="O101" s="274"/>
      <c r="P101" s="274"/>
      <c r="Q101" s="195"/>
      <c r="R101" s="260" t="s">
        <v>1</v>
      </c>
      <c r="S101" s="260"/>
      <c r="T101" s="260"/>
      <c r="U101" s="260"/>
      <c r="V101" s="260"/>
      <c r="W101" s="5" t="s">
        <v>14</v>
      </c>
      <c r="X101" s="260" t="s">
        <v>23</v>
      </c>
      <c r="Y101" s="260"/>
      <c r="Z101" s="260"/>
      <c r="AA101" s="260"/>
      <c r="AB101" s="260"/>
      <c r="AC101" s="5" t="s">
        <v>14</v>
      </c>
      <c r="AD101" s="260" t="s">
        <v>24</v>
      </c>
      <c r="AE101" s="260"/>
      <c r="AF101" s="260"/>
      <c r="AG101" s="260"/>
      <c r="AH101" s="260"/>
      <c r="AI101" s="260"/>
      <c r="AJ101" s="5" t="s">
        <v>14</v>
      </c>
      <c r="AK101" s="260" t="s">
        <v>25</v>
      </c>
      <c r="AL101" s="260"/>
      <c r="AM101" s="260"/>
      <c r="AN101" s="260"/>
      <c r="AO101" s="260"/>
      <c r="AP101" s="260"/>
      <c r="AQ101" s="260"/>
      <c r="AR101" s="195"/>
      <c r="AS101" s="195"/>
      <c r="AV101" s="8"/>
      <c r="AW101" s="126"/>
      <c r="AX101" s="126"/>
      <c r="AY101" s="101"/>
      <c r="AZ101" s="101"/>
      <c r="BA101" s="101"/>
      <c r="BB101" s="101"/>
      <c r="BD101" s="31">
        <v>10</v>
      </c>
      <c r="BE101" s="31" t="s">
        <v>106</v>
      </c>
    </row>
    <row r="102" spans="1:57" ht="13" hidden="1" x14ac:dyDescent="0.2">
      <c r="B102" s="270"/>
      <c r="C102" s="270"/>
      <c r="D102" s="270"/>
      <c r="E102" s="270"/>
      <c r="F102" s="194"/>
      <c r="G102" s="194"/>
      <c r="H102" s="194"/>
      <c r="I102" s="194"/>
      <c r="J102" s="194"/>
      <c r="K102" s="194"/>
      <c r="AV102" s="8"/>
      <c r="AW102" s="126"/>
      <c r="AX102" s="126"/>
      <c r="AY102" s="101"/>
      <c r="AZ102" s="101"/>
      <c r="BA102" s="101"/>
      <c r="BB102" s="101"/>
    </row>
    <row r="103" spans="1:57" ht="13.5" hidden="1" customHeight="1" x14ac:dyDescent="0.2">
      <c r="F103" s="275" t="s">
        <v>41</v>
      </c>
      <c r="G103" s="275"/>
      <c r="H103" s="275"/>
      <c r="I103" s="275"/>
      <c r="J103" s="275"/>
      <c r="K103" s="275"/>
      <c r="L103" s="276">
        <f ca="1">IF(ISERROR(ROUND(+L101*0.1,0)),"",ROUND(+L101*0.1,0))</f>
        <v>0</v>
      </c>
      <c r="M103" s="276"/>
      <c r="N103" s="276"/>
      <c r="O103" s="276"/>
      <c r="P103" s="276"/>
      <c r="Q103" s="39"/>
      <c r="R103" s="260" t="s">
        <v>94</v>
      </c>
      <c r="S103" s="260"/>
      <c r="T103" s="260"/>
      <c r="U103" s="260"/>
      <c r="V103" s="260"/>
      <c r="X103" s="260" t="s">
        <v>109</v>
      </c>
      <c r="Y103" s="260"/>
      <c r="Z103" s="260"/>
      <c r="AA103" s="260"/>
      <c r="AB103" s="260"/>
      <c r="AC103" s="38"/>
      <c r="AD103" s="260" t="s">
        <v>95</v>
      </c>
      <c r="AE103" s="260"/>
      <c r="AF103" s="260"/>
      <c r="AG103" s="260"/>
      <c r="AH103" s="260"/>
      <c r="AI103" s="260"/>
      <c r="AJ103" s="38"/>
      <c r="AK103" s="260" t="s">
        <v>96</v>
      </c>
      <c r="AL103" s="260"/>
      <c r="AM103" s="260"/>
      <c r="AN103" s="260"/>
      <c r="AO103" s="260"/>
      <c r="AP103" s="260"/>
      <c r="AQ103" s="260"/>
      <c r="AR103" s="60"/>
      <c r="AS103" s="17"/>
      <c r="AV103" s="8"/>
      <c r="AW103" s="128"/>
      <c r="AX103" s="126"/>
      <c r="AY103" s="101"/>
      <c r="AZ103" s="101"/>
      <c r="BA103" s="101"/>
      <c r="BB103" s="101"/>
    </row>
    <row r="104" spans="1:57" ht="5.25" hidden="1" customHeight="1" thickBot="1" x14ac:dyDescent="0.25">
      <c r="F104" s="275"/>
      <c r="G104" s="275"/>
      <c r="H104" s="275"/>
      <c r="I104" s="275"/>
      <c r="J104" s="275"/>
      <c r="K104" s="275"/>
      <c r="L104" s="61"/>
      <c r="M104" s="61"/>
      <c r="N104" s="61"/>
      <c r="O104" s="61"/>
      <c r="P104" s="61"/>
      <c r="AQ104" s="1"/>
      <c r="AV104" s="8"/>
      <c r="AW104" s="126"/>
      <c r="AX104" s="126"/>
      <c r="AY104" s="101"/>
      <c r="AZ104" s="101"/>
      <c r="BA104" s="101"/>
      <c r="BB104" s="101"/>
    </row>
    <row r="105" spans="1:57" hidden="1" thickTop="1" x14ac:dyDescent="0.2">
      <c r="F105" s="257" t="s">
        <v>43</v>
      </c>
      <c r="G105" s="257"/>
      <c r="H105" s="257"/>
      <c r="I105" s="257"/>
      <c r="J105" s="257"/>
      <c r="K105" s="257"/>
      <c r="L105" s="295">
        <f ca="1">IF(ISERROR(+L101+L103),"",+L101+L103)</f>
        <v>0</v>
      </c>
      <c r="M105" s="295"/>
      <c r="N105" s="295"/>
      <c r="O105" s="295"/>
      <c r="P105" s="295"/>
      <c r="R105" s="293">
        <f ca="1">IF(AF46&gt;AB53,AB53,AF46)</f>
        <v>0</v>
      </c>
      <c r="S105" s="293"/>
      <c r="T105" s="293"/>
      <c r="U105" s="293"/>
      <c r="V105" s="293"/>
      <c r="W105" s="208" t="s">
        <v>14</v>
      </c>
      <c r="X105" s="289">
        <f>IF(AQ33=0,0,IF(BA91=TRUE,AO62,AI61))</f>
        <v>0</v>
      </c>
      <c r="Y105" s="289"/>
      <c r="Z105" s="289"/>
      <c r="AA105" s="289"/>
      <c r="AB105" s="289"/>
      <c r="AC105" s="208" t="s">
        <v>14</v>
      </c>
      <c r="AD105" s="289">
        <f>IF(BA78=FALSE,0,+P80)</f>
        <v>0</v>
      </c>
      <c r="AE105" s="289"/>
      <c r="AF105" s="289"/>
      <c r="AG105" s="289"/>
      <c r="AH105" s="289"/>
      <c r="AI105" s="289"/>
      <c r="AJ105" s="208" t="s">
        <v>14</v>
      </c>
      <c r="AK105" s="289">
        <f>IF(BA91=FALSE,0,AA95)</f>
        <v>0</v>
      </c>
      <c r="AL105" s="289"/>
      <c r="AM105" s="289"/>
      <c r="AN105" s="289"/>
      <c r="AO105" s="289"/>
      <c r="AP105" s="289"/>
      <c r="AQ105" s="7"/>
      <c r="AV105" s="8"/>
      <c r="AW105" s="126"/>
      <c r="AX105" s="126"/>
      <c r="AY105" s="101"/>
      <c r="AZ105" s="101"/>
      <c r="BA105" s="101"/>
      <c r="BB105" s="101"/>
    </row>
    <row r="106" spans="1:57" ht="21" hidden="1" x14ac:dyDescent="0.2">
      <c r="F106" s="281"/>
      <c r="G106" s="281"/>
      <c r="H106" s="281"/>
      <c r="I106" s="281"/>
      <c r="J106" s="281"/>
      <c r="K106" s="281"/>
      <c r="L106" s="296"/>
      <c r="M106" s="296"/>
      <c r="N106" s="296"/>
      <c r="O106" s="296"/>
      <c r="P106" s="296"/>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6"/>
      <c r="AX106" s="126"/>
      <c r="AY106" s="101"/>
      <c r="AZ106" s="101"/>
      <c r="BA106" s="101"/>
      <c r="BB106" s="101"/>
    </row>
    <row r="107" spans="1:57" ht="13" x14ac:dyDescent="0.2">
      <c r="AV107" s="8"/>
      <c r="AW107" s="126"/>
      <c r="AX107" s="126"/>
      <c r="AY107" s="101"/>
      <c r="AZ107" s="101"/>
      <c r="BA107" s="101"/>
      <c r="BB107" s="101"/>
    </row>
    <row r="108" spans="1:57" ht="13" x14ac:dyDescent="0.2">
      <c r="F108" s="38"/>
      <c r="G108" s="38"/>
      <c r="H108" s="38"/>
      <c r="I108" s="38"/>
      <c r="J108" s="38"/>
      <c r="K108" s="38"/>
      <c r="L108" s="38"/>
      <c r="M108" s="38"/>
      <c r="N108" s="38"/>
      <c r="O108" s="38"/>
      <c r="P108" s="38"/>
      <c r="Q108" s="38"/>
      <c r="R108" s="260"/>
      <c r="S108" s="260"/>
      <c r="T108" s="260"/>
      <c r="U108" s="260"/>
      <c r="V108" s="260"/>
      <c r="X108" s="260"/>
      <c r="Y108" s="260"/>
      <c r="Z108" s="260"/>
      <c r="AA108" s="260"/>
      <c r="AB108" s="260"/>
      <c r="AD108" s="260"/>
      <c r="AE108" s="260"/>
      <c r="AF108" s="260"/>
      <c r="AG108" s="260"/>
      <c r="AH108" s="260"/>
      <c r="AI108" s="260"/>
      <c r="AK108" s="260"/>
      <c r="AL108" s="260"/>
      <c r="AM108" s="260"/>
      <c r="AN108" s="260"/>
      <c r="AO108" s="260"/>
      <c r="AP108" s="260"/>
      <c r="AQ108" s="260"/>
      <c r="AV108" s="20"/>
      <c r="AW108" s="126"/>
      <c r="AX108" s="126"/>
      <c r="AY108" s="101"/>
      <c r="AZ108" s="101"/>
      <c r="BA108" s="101"/>
      <c r="BB108" s="101"/>
    </row>
    <row r="109" spans="1:57" ht="13" x14ac:dyDescent="0.2">
      <c r="B109" s="270" t="s">
        <v>108</v>
      </c>
      <c r="C109" s="270"/>
      <c r="D109" s="270"/>
      <c r="E109" s="270"/>
      <c r="F109" s="38"/>
      <c r="G109" s="38"/>
      <c r="H109" s="275" t="s">
        <v>42</v>
      </c>
      <c r="I109" s="275"/>
      <c r="J109" s="275"/>
      <c r="K109" s="275"/>
      <c r="L109" s="274">
        <f ca="1">IF(ISERROR(+R$113+X$113+AD$113+AK$113),"",+R$113+X$113+AD$113+AK$113)</f>
        <v>51080</v>
      </c>
      <c r="M109" s="274"/>
      <c r="N109" s="274"/>
      <c r="O109" s="274"/>
      <c r="P109" s="274"/>
      <c r="Q109" s="38"/>
      <c r="R109" s="260" t="s">
        <v>1</v>
      </c>
      <c r="S109" s="260"/>
      <c r="T109" s="260"/>
      <c r="U109" s="260"/>
      <c r="V109" s="260"/>
      <c r="W109" s="5" t="s">
        <v>14</v>
      </c>
      <c r="X109" s="260" t="s">
        <v>23</v>
      </c>
      <c r="Y109" s="260"/>
      <c r="Z109" s="260"/>
      <c r="AA109" s="260"/>
      <c r="AB109" s="260"/>
      <c r="AC109" s="5" t="s">
        <v>14</v>
      </c>
      <c r="AD109" s="260" t="s">
        <v>24</v>
      </c>
      <c r="AE109" s="260"/>
      <c r="AF109" s="260"/>
      <c r="AG109" s="260"/>
      <c r="AH109" s="260"/>
      <c r="AI109" s="260"/>
      <c r="AJ109" s="5" t="s">
        <v>14</v>
      </c>
      <c r="AK109" s="260" t="s">
        <v>25</v>
      </c>
      <c r="AL109" s="260"/>
      <c r="AM109" s="260"/>
      <c r="AN109" s="260"/>
      <c r="AO109" s="260"/>
      <c r="AP109" s="260"/>
      <c r="AQ109" s="260"/>
      <c r="AR109" s="195"/>
      <c r="AS109" s="195"/>
      <c r="AT109" s="195"/>
      <c r="AU109" s="195"/>
      <c r="AV109" s="119"/>
      <c r="AW109" s="126"/>
      <c r="AX109" s="129"/>
      <c r="AY109" s="101"/>
      <c r="AZ109" s="101"/>
      <c r="BA109" s="101"/>
      <c r="BB109" s="101"/>
    </row>
    <row r="110" spans="1:57" ht="13" x14ac:dyDescent="0.2">
      <c r="B110" s="270"/>
      <c r="C110" s="270"/>
      <c r="D110" s="270"/>
      <c r="E110" s="270"/>
      <c r="F110" s="194"/>
      <c r="G110" s="194"/>
      <c r="H110" s="194"/>
      <c r="I110" s="194"/>
      <c r="J110" s="194"/>
      <c r="K110" s="194"/>
      <c r="Q110" s="194"/>
      <c r="R110" s="260"/>
      <c r="S110" s="260"/>
      <c r="T110" s="260"/>
      <c r="U110" s="260"/>
      <c r="V110" s="260"/>
      <c r="X110" s="260"/>
      <c r="Y110" s="260"/>
      <c r="Z110" s="260"/>
      <c r="AA110" s="260"/>
      <c r="AB110" s="260"/>
      <c r="AD110" s="260"/>
      <c r="AE110" s="260"/>
      <c r="AF110" s="260"/>
      <c r="AG110" s="260"/>
      <c r="AH110" s="260"/>
      <c r="AI110" s="260"/>
      <c r="AK110" s="260"/>
      <c r="AL110" s="260"/>
      <c r="AM110" s="260"/>
      <c r="AN110" s="260"/>
      <c r="AO110" s="260"/>
      <c r="AP110" s="260"/>
      <c r="AQ110" s="260"/>
      <c r="AV110" s="8"/>
      <c r="AW110" s="126"/>
      <c r="AX110" s="126"/>
      <c r="AY110" s="101"/>
      <c r="AZ110" s="101"/>
      <c r="BA110" s="101"/>
      <c r="BB110" s="101"/>
    </row>
    <row r="111" spans="1:57" ht="13" x14ac:dyDescent="0.2">
      <c r="F111" s="275" t="s">
        <v>41</v>
      </c>
      <c r="G111" s="275"/>
      <c r="H111" s="275"/>
      <c r="I111" s="275"/>
      <c r="J111" s="275"/>
      <c r="K111" s="275"/>
      <c r="L111" s="276">
        <f ca="1">IF(ISERROR(ROUND(+L109*0.1,0)),"",ROUND(+L109*0.1,0))</f>
        <v>5108</v>
      </c>
      <c r="M111" s="276"/>
      <c r="N111" s="276"/>
      <c r="O111" s="276"/>
      <c r="P111" s="276"/>
      <c r="Q111" s="194"/>
      <c r="R111" s="260"/>
      <c r="S111" s="260"/>
      <c r="T111" s="260"/>
      <c r="U111" s="260"/>
      <c r="V111" s="260"/>
      <c r="X111" s="260"/>
      <c r="Y111" s="260"/>
      <c r="Z111" s="260"/>
      <c r="AA111" s="260"/>
      <c r="AB111" s="260"/>
      <c r="AC111" s="38"/>
      <c r="AD111" s="260"/>
      <c r="AE111" s="260"/>
      <c r="AF111" s="260"/>
      <c r="AG111" s="260"/>
      <c r="AH111" s="260"/>
      <c r="AI111" s="260"/>
      <c r="AK111" s="260"/>
      <c r="AL111" s="260"/>
      <c r="AM111" s="260"/>
      <c r="AN111" s="260"/>
      <c r="AO111" s="260"/>
      <c r="AP111" s="260"/>
      <c r="AQ111" s="260"/>
      <c r="AR111" s="39"/>
      <c r="AS111" s="17"/>
      <c r="AT111" s="17"/>
      <c r="AU111" s="17"/>
      <c r="AV111" s="22"/>
      <c r="AW111" s="128"/>
      <c r="AX111" s="128"/>
      <c r="AY111" s="101"/>
      <c r="AZ111" s="101"/>
      <c r="BA111" s="101"/>
      <c r="BB111" s="101"/>
    </row>
    <row r="112" spans="1:57" thickBot="1" x14ac:dyDescent="0.25">
      <c r="F112" s="194"/>
      <c r="G112" s="194"/>
      <c r="H112" s="194"/>
      <c r="I112" s="194"/>
      <c r="J112" s="194"/>
      <c r="K112" s="194"/>
      <c r="L112" s="61"/>
      <c r="M112" s="61"/>
      <c r="N112" s="61"/>
      <c r="O112" s="61"/>
      <c r="P112" s="61"/>
      <c r="Q112" s="194"/>
      <c r="AQ112" s="1"/>
      <c r="AV112" s="8"/>
      <c r="AW112" s="126"/>
      <c r="AX112" s="126"/>
      <c r="AY112" s="101"/>
      <c r="AZ112" s="101"/>
      <c r="BA112" s="101"/>
      <c r="BB112" s="101"/>
    </row>
    <row r="113" spans="2:55" thickTop="1" x14ac:dyDescent="0.2">
      <c r="F113" s="257" t="s">
        <v>43</v>
      </c>
      <c r="G113" s="257"/>
      <c r="H113" s="257"/>
      <c r="I113" s="257"/>
      <c r="J113" s="257"/>
      <c r="K113" s="257"/>
      <c r="L113" s="295">
        <f ca="1">IF(ISERROR(+L109+L111),"",+L109+L111)</f>
        <v>56188</v>
      </c>
      <c r="M113" s="295"/>
      <c r="N113" s="295"/>
      <c r="O113" s="295"/>
      <c r="P113" s="295"/>
      <c r="Q113" s="201"/>
      <c r="R113" s="293">
        <f ca="1">AF48</f>
        <v>51080</v>
      </c>
      <c r="S113" s="293"/>
      <c r="T113" s="293"/>
      <c r="U113" s="293"/>
      <c r="V113" s="293"/>
      <c r="W113" s="208" t="s">
        <v>14</v>
      </c>
      <c r="X113" s="289">
        <f>IF(AQ33=0,0,IF(BA91=TRUE,AO72,AI71))</f>
        <v>0</v>
      </c>
      <c r="Y113" s="289"/>
      <c r="Z113" s="289"/>
      <c r="AA113" s="289"/>
      <c r="AB113" s="289"/>
      <c r="AC113" s="208" t="s">
        <v>14</v>
      </c>
      <c r="AD113" s="289">
        <f>IF(BA78=FALSE,0,+P84)</f>
        <v>0</v>
      </c>
      <c r="AE113" s="289"/>
      <c r="AF113" s="289"/>
      <c r="AG113" s="289"/>
      <c r="AH113" s="289"/>
      <c r="AI113" s="289"/>
      <c r="AJ113" s="208" t="s">
        <v>14</v>
      </c>
      <c r="AK113" s="289">
        <f>IF(BA91=FALSE,0,AA98)</f>
        <v>0</v>
      </c>
      <c r="AL113" s="289"/>
      <c r="AM113" s="289"/>
      <c r="AN113" s="289"/>
      <c r="AO113" s="289"/>
      <c r="AP113" s="289"/>
      <c r="AQ113" s="7"/>
      <c r="AV113" s="8"/>
      <c r="AW113" s="126"/>
      <c r="AX113" s="126"/>
      <c r="AY113" s="101"/>
      <c r="AZ113" s="101"/>
      <c r="BA113" s="101"/>
      <c r="BB113" s="101"/>
    </row>
    <row r="114" spans="2:55" ht="13" x14ac:dyDescent="0.2">
      <c r="F114" s="281"/>
      <c r="G114" s="281"/>
      <c r="H114" s="281"/>
      <c r="I114" s="281"/>
      <c r="J114" s="281"/>
      <c r="K114" s="281"/>
      <c r="L114" s="296"/>
      <c r="M114" s="296"/>
      <c r="N114" s="296"/>
      <c r="O114" s="296"/>
      <c r="P114" s="296"/>
      <c r="Q114" s="202"/>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6"/>
      <c r="AX114" s="126"/>
      <c r="AY114" s="101"/>
      <c r="AZ114" s="101"/>
      <c r="BA114" s="101"/>
      <c r="BB114" s="101"/>
    </row>
    <row r="115" spans="2:55" ht="13" x14ac:dyDescent="0.2">
      <c r="AV115" s="8"/>
      <c r="AW115" s="126"/>
      <c r="AX115" s="126"/>
      <c r="AY115" s="101"/>
      <c r="AZ115" s="101"/>
      <c r="BA115" s="101"/>
      <c r="BB115" s="101"/>
    </row>
    <row r="116" spans="2:55" ht="23.5" x14ac:dyDescent="0.2">
      <c r="B116" s="66" t="str">
        <f ca="1">IF(L105="","","この運送の基準額は、")</f>
        <v>この運送の基準額は、</v>
      </c>
      <c r="C116" s="67"/>
      <c r="D116" s="67"/>
      <c r="E116" s="51"/>
      <c r="F116" s="51"/>
      <c r="G116" s="67"/>
      <c r="H116" s="67"/>
      <c r="I116" s="67"/>
      <c r="J116" s="51"/>
      <c r="K116" s="269">
        <f ca="1">IF(L105="","",L113)</f>
        <v>56188</v>
      </c>
      <c r="L116" s="269"/>
      <c r="M116" s="269"/>
      <c r="N116" s="269"/>
      <c r="O116" s="269"/>
      <c r="P116" s="269"/>
      <c r="Q116" s="130" t="str">
        <f ca="1">IF(L105="","","です。")</f>
        <v>です。</v>
      </c>
      <c r="R116" s="67"/>
      <c r="S116" s="67"/>
      <c r="T116" s="67"/>
      <c r="U116" s="67"/>
      <c r="V116" s="67"/>
      <c r="W116" s="269"/>
      <c r="X116" s="269"/>
      <c r="Y116" s="269"/>
      <c r="Z116" s="269"/>
      <c r="AA116" s="269"/>
      <c r="AB116" s="269"/>
      <c r="AC116" s="66"/>
      <c r="AD116" s="67"/>
      <c r="AE116" s="67"/>
      <c r="AF116" s="67"/>
      <c r="AG116" s="67"/>
      <c r="AH116" s="68"/>
      <c r="AI116" s="68"/>
      <c r="AJ116" s="68"/>
      <c r="AK116" s="68"/>
      <c r="AL116" s="68"/>
      <c r="AM116" s="68"/>
      <c r="AN116" s="68"/>
      <c r="AO116" s="68"/>
      <c r="AP116" s="68"/>
      <c r="AQ116" s="68"/>
      <c r="AR116" s="68"/>
      <c r="AS116" s="68"/>
      <c r="AT116" s="68"/>
      <c r="AU116" s="68"/>
      <c r="AV116" s="8"/>
      <c r="AW116" s="126"/>
      <c r="AX116" s="126"/>
      <c r="AY116" s="101"/>
      <c r="AZ116" s="101"/>
      <c r="BA116" s="101"/>
      <c r="BB116" s="101"/>
    </row>
    <row r="117" spans="2:55" ht="21" customHeight="1" x14ac:dyDescent="0.2">
      <c r="B117" s="252" t="str">
        <f ca="1">IF(L105="","","実際の運賃・料金がこの下限額を下回っている場合は、運賃料金の届出に違反しているおそれがあります。")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126"/>
      <c r="AZ117" s="126"/>
      <c r="BA117" s="126"/>
      <c r="BB117" s="126"/>
    </row>
    <row r="118" spans="2:55" ht="21.75" hidden="1" customHeight="1" x14ac:dyDescent="0.2">
      <c r="AY118" s="126"/>
      <c r="AZ118" s="126"/>
      <c r="BA118" s="127"/>
      <c r="BB118" s="126"/>
    </row>
    <row r="119" spans="2:55" ht="13" hidden="1" x14ac:dyDescent="0.2">
      <c r="AY119" s="129"/>
      <c r="AZ119" s="129"/>
      <c r="BA119" s="129"/>
      <c r="BB119" s="126"/>
    </row>
    <row r="120" spans="2:55" ht="13" hidden="1" x14ac:dyDescent="0.2">
      <c r="AY120" s="126"/>
      <c r="AZ120" s="126"/>
      <c r="BA120" s="126"/>
      <c r="BB120" s="126"/>
    </row>
    <row r="121" spans="2:55" ht="13" hidden="1" x14ac:dyDescent="0.2">
      <c r="AY121" s="128"/>
      <c r="AZ121" s="128"/>
      <c r="BA121" s="128"/>
      <c r="BB121" s="128"/>
      <c r="BC121" s="140"/>
    </row>
    <row r="122" spans="2:55" ht="13" hidden="1" x14ac:dyDescent="0.2">
      <c r="AY122" s="126"/>
      <c r="AZ122" s="126"/>
      <c r="BA122" s="126"/>
      <c r="BB122" s="126"/>
    </row>
    <row r="123" spans="2:55" ht="13" hidden="1" x14ac:dyDescent="0.2">
      <c r="AY123" s="126"/>
      <c r="AZ123" s="126"/>
      <c r="BA123" s="126"/>
      <c r="BB123" s="126"/>
    </row>
    <row r="124" spans="2:55" ht="13" hidden="1" x14ac:dyDescent="0.2">
      <c r="AY124" s="126"/>
      <c r="AZ124" s="126"/>
      <c r="BA124" s="126"/>
      <c r="BB124" s="126"/>
    </row>
    <row r="125" spans="2:55" ht="13" hidden="1" x14ac:dyDescent="0.2">
      <c r="AY125" s="126"/>
      <c r="AZ125" s="126"/>
      <c r="BA125" s="126"/>
      <c r="BB125" s="126"/>
    </row>
    <row r="126" spans="2:55" ht="5.25" hidden="1" customHeight="1" x14ac:dyDescent="0.2">
      <c r="AY126" s="126"/>
      <c r="AZ126" s="126"/>
      <c r="BA126" s="126"/>
      <c r="BB126" s="126"/>
    </row>
    <row r="127" spans="2:55" ht="6.75" hidden="1" customHeight="1" x14ac:dyDescent="0.2">
      <c r="AY127" s="126"/>
      <c r="AZ127" s="126"/>
      <c r="BA127" s="126"/>
      <c r="BB127" s="126"/>
    </row>
  </sheetData>
  <sheetProtection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F113:K114"/>
    <mergeCell ref="L113:P114"/>
    <mergeCell ref="R113:V113"/>
    <mergeCell ref="X113:AB113"/>
    <mergeCell ref="AD113:AI113"/>
    <mergeCell ref="AK113:AP113"/>
    <mergeCell ref="B117:AX117"/>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F12:AJ12"/>
    <mergeCell ref="BP12:BW12"/>
    <mergeCell ref="BY12:CA12"/>
    <mergeCell ref="CF12:CH12"/>
    <mergeCell ref="Z12:AE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F80:J81 L80:N81 P80:V81 AC80:AC85 AE80:AG85 AI80:AO85 AA81:AB81 Y82 Z82:AB85 F83:J84 L83:N84 P83:V84 Y85">
    <cfRule type="expression" dxfId="32" priority="24">
      <formula>$BA$78=FALSE</formula>
    </cfRule>
  </conditionalFormatting>
  <conditionalFormatting sqref="J58:K59 F58:G60">
    <cfRule type="expression" dxfId="31" priority="19">
      <formula>$AQ$33=0</formula>
    </cfRule>
  </conditionalFormatting>
  <conditionalFormatting sqref="J95:L95 J98:L99">
    <cfRule type="expression" dxfId="30" priority="32">
      <formula>$BA$91=FALSE</formula>
    </cfRule>
  </conditionalFormatting>
  <conditionalFormatting sqref="M77:N77 Q77:R77">
    <cfRule type="expression" dxfId="29" priority="23">
      <formula>$BA$78=FALSE</formula>
    </cfRule>
    <cfRule type="expression" dxfId="28" priority="22">
      <formula>$BA$78=FALSE</formula>
    </cfRule>
  </conditionalFormatting>
  <conditionalFormatting sqref="N40 AC62:AC63 AC69:AC70 AJ72:AN72 N95:P95 R95:U95 AA95:AG95 N98:P99 R98:U99 AA98:AG99">
    <cfRule type="expression" dxfId="27" priority="25">
      <formula>$BA$91=FALSE</formula>
    </cfRule>
  </conditionalFormatting>
  <conditionalFormatting sqref="T39:V39">
    <cfRule type="cellIs" dxfId="26" priority="21" operator="notEqual">
      <formula>""</formula>
    </cfRule>
  </conditionalFormatting>
  <conditionalFormatting sqref="U62:U63 U69:U70 AB72:AE72">
    <cfRule type="expression" dxfId="25" priority="29">
      <formula>OR($AQ$33=0,AND($AQ$33&gt;0,$BA$91=FALSE))</formula>
    </cfRule>
  </conditionalFormatting>
  <conditionalFormatting sqref="W95:Y95 W98:Y98">
    <cfRule type="expression" dxfId="24" priority="26">
      <formula>$BA$91=FALSE</formula>
    </cfRule>
    <cfRule type="cellIs" dxfId="23" priority="27" operator="notEqual">
      <formula>$N$39</formula>
    </cfRule>
    <cfRule type="expression" dxfId="22" priority="28">
      <formula>$BA$91=FALSE</formula>
    </cfRule>
  </conditionalFormatting>
  <conditionalFormatting sqref="Y46:AB46 Y48:AB48">
    <cfRule type="cellIs" dxfId="21" priority="20" operator="notEqual">
      <formula>$N$39</formula>
    </cfRule>
  </conditionalFormatting>
  <conditionalFormatting sqref="Z61 U61:U64 AC61:AC64 Z64 Z68 U68:U71 AC68:AC71 Z71 AJ72:AN72">
    <cfRule type="expression" dxfId="20" priority="18">
      <formula>$AQ$33=0</formula>
    </cfRule>
  </conditionalFormatting>
  <conditionalFormatting sqref="Z62:Z63 Z69:Z70 AG72:AH72">
    <cfRule type="expression" dxfId="19" priority="31">
      <formula>OR($AQ$33=0,AND($AQ$33&gt;0,$BA$91=FALSE))</formula>
    </cfRule>
  </conditionalFormatting>
  <conditionalFormatting sqref="AB72:AE72">
    <cfRule type="expression" dxfId="18" priority="30">
      <formula>$AQ$33=0</formula>
    </cfRule>
  </conditionalFormatting>
  <conditionalFormatting sqref="AF13:AH13 AF15:AH15 AF17:AH17">
    <cfRule type="cellIs" dxfId="17" priority="17" operator="equal">
      <formula>"20時間を"</formula>
    </cfRule>
  </conditionalFormatting>
  <conditionalFormatting sqref="AF19:AH19">
    <cfRule type="cellIs" dxfId="16" priority="4" operator="equal">
      <formula>"20時間を"</formula>
    </cfRule>
  </conditionalFormatting>
  <conditionalFormatting sqref="AF21:AH21">
    <cfRule type="cellIs" dxfId="15" priority="6" operator="equal">
      <formula>"20時間を"</formula>
    </cfRule>
  </conditionalFormatting>
  <conditionalFormatting sqref="AF23:AH23">
    <cfRule type="cellIs" dxfId="14" priority="8" operator="equal">
      <formula>"20時間を"</formula>
    </cfRule>
  </conditionalFormatting>
  <conditionalFormatting sqref="AF25:AH25">
    <cfRule type="cellIs" dxfId="13" priority="10" operator="equal">
      <formula>"20時間を"</formula>
    </cfRule>
  </conditionalFormatting>
  <conditionalFormatting sqref="AF27:AH27">
    <cfRule type="cellIs" dxfId="12" priority="12" operator="equal">
      <formula>"20時間を"</formula>
    </cfRule>
  </conditionalFormatting>
  <conditionalFormatting sqref="AF29:AH29">
    <cfRule type="cellIs" dxfId="11" priority="2" operator="equal">
      <formula>"20時間を"</formula>
    </cfRule>
  </conditionalFormatting>
  <conditionalFormatting sqref="AF31:AH31">
    <cfRule type="cellIs" dxfId="10" priority="14" operator="equal">
      <formula>"20時間を"</formula>
    </cfRule>
  </conditionalFormatting>
  <conditionalFormatting sqref="AI61 AI64 AI68">
    <cfRule type="expression" dxfId="9" priority="33">
      <formula>OR($AQ$33=0,AND($AQ$33&gt;0,$G$90=TRUE))</formula>
    </cfRule>
  </conditionalFormatting>
  <conditionalFormatting sqref="AI71">
    <cfRule type="expression" dxfId="8" priority="15">
      <formula>OR($AQ$33=0,AND($AQ$33&gt;0,$G$90=TRUE))</formula>
    </cfRule>
  </conditionalFormatting>
  <conditionalFormatting sqref="AI13:AL13 AI15:AL15 AI17:AL17">
    <cfRule type="cellIs" dxfId="7" priority="16" operator="equal">
      <formula>"超えています"</formula>
    </cfRule>
  </conditionalFormatting>
  <conditionalFormatting sqref="AI19:AL19">
    <cfRule type="cellIs" dxfId="6" priority="3" operator="equal">
      <formula>"超えています"</formula>
    </cfRule>
  </conditionalFormatting>
  <conditionalFormatting sqref="AI21:AL21">
    <cfRule type="cellIs" dxfId="5" priority="5" operator="equal">
      <formula>"超えています"</formula>
    </cfRule>
  </conditionalFormatting>
  <conditionalFormatting sqref="AI23:AL23">
    <cfRule type="cellIs" dxfId="4" priority="7" operator="equal">
      <formula>"超えています"</formula>
    </cfRule>
  </conditionalFormatting>
  <conditionalFormatting sqref="AI25:AL25">
    <cfRule type="cellIs" dxfId="3" priority="9" operator="equal">
      <formula>"超えています"</formula>
    </cfRule>
  </conditionalFormatting>
  <conditionalFormatting sqref="AI27:AL27">
    <cfRule type="cellIs" dxfId="2" priority="11" operator="equal">
      <formula>"超えています"</formula>
    </cfRule>
  </conditionalFormatting>
  <conditionalFormatting sqref="AI29:AL29">
    <cfRule type="cellIs" dxfId="1" priority="1" operator="equal">
      <formula>"超えています"</formula>
    </cfRule>
  </conditionalFormatting>
  <conditionalFormatting sqref="AI31:AL31">
    <cfRule type="cellIs" dxfId="0" priority="13"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xr:uid="{00000000-0002-0000-0200-000000000000}">
      <formula1>20</formula1>
    </dataValidation>
    <dataValidation type="whole" operator="greaterThanOrEqual" allowBlank="1" showInputMessage="1" showErrorMessage="1" errorTitle="最低３時間です！" error="３時間未満の場合は、3時間となります！" sqref="BP33:BP35 BE36" xr:uid="{00000000-0002-0000-0200-000001000000}">
      <formula1>3</formula1>
    </dataValidation>
    <dataValidation type="whole" operator="greaterThanOrEqual" allowBlank="1" showInputMessage="1" showErrorMessage="1" errorTitle="最低３時間です" error="３時間未満の場合は、3時間となります。" sqref="AV33:AW33"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7 Q77" xr:uid="{00000000-0002-0000-0200-000004000000}">
      <formula1>50</formula1>
    </dataValidation>
    <dataValidation type="whole" allowBlank="1" showInputMessage="1" showErrorMessage="1" errorTitle="範囲外で設定されています！" error="上限額と下限額の範囲内で設定してください！" sqref="AR95:AR96" xr:uid="{00000000-0002-0000-0200-000005000000}">
      <formula1>CN119</formula1>
      <formula2>CL119</formula2>
    </dataValidation>
    <dataValidation type="whole" allowBlank="1" showInputMessage="1" showErrorMessage="1" errorTitle="範囲外で設定されています！" error="上限額と下限額の範囲内で設定してください！" sqref="AR93:AR94" xr:uid="{00000000-0002-0000-0200-000006000000}">
      <formula1>CN118</formula1>
      <formula2>CL118</formula2>
    </dataValidation>
    <dataValidation type="whole" allowBlank="1" showInputMessage="1" showErrorMessage="1" errorTitle="範囲外で設定されています！" error="上限額と下限額の範囲内で設定してください！" sqref="AQ95:AQ96" xr:uid="{00000000-0002-0000-0200-000007000000}">
      <formula1>CN119</formula1>
      <formula2>CL119</formula2>
    </dataValidation>
    <dataValidation type="whole" allowBlank="1" showInputMessage="1" showErrorMessage="1" errorTitle="範囲外で設定されています！" error="上限額と下限額の範囲内で設定してください！" sqref="AQ93:AQ94" xr:uid="{00000000-0002-0000-0200-000008000000}">
      <formula1>CN118</formula1>
      <formula2>CL118</formula2>
    </dataValidation>
    <dataValidation type="whole" allowBlank="1" showInputMessage="1" showErrorMessage="1" errorTitle="範囲外で設定されています！" error="上限額と下限額の範囲内で設定してください！" sqref="AP95:AP96" xr:uid="{00000000-0002-0000-0200-000009000000}">
      <formula1>CN119</formula1>
      <formula2>CL119</formula2>
    </dataValidation>
    <dataValidation type="whole" allowBlank="1" showInputMessage="1" showErrorMessage="1" errorTitle="範囲外で設定されています！" error="上限額と下限額の範囲内で設定してください！" sqref="AP93:AP94" xr:uid="{00000000-0002-0000-0200-00000A000000}">
      <formula1>CN118</formula1>
      <formula2>CL118</formula2>
    </dataValidation>
    <dataValidation type="whole" allowBlank="1" showInputMessage="1" showErrorMessage="1" errorTitle="範囲外で設定されています！" error="上限額と下限額の範囲内で設定してください！" sqref="AO95:AO96" xr:uid="{00000000-0002-0000-0200-00000B000000}">
      <formula1>CN119</formula1>
      <formula2>CL119</formula2>
    </dataValidation>
    <dataValidation type="whole" allowBlank="1" showInputMessage="1" showErrorMessage="1" errorTitle="範囲外で設定されています！" error="上限額と下限額の範囲内で設定してください！" sqref="AO93:AO94" xr:uid="{00000000-0002-0000-0200-00000C000000}">
      <formula1>CN118</formula1>
      <formula2>CL118</formula2>
    </dataValidation>
    <dataValidation type="whole" allowBlank="1" showInputMessage="1" showErrorMessage="1" errorTitle="範囲外で設定されています！" error="上限額と下限額の範囲内で設定してください！" sqref="AN95:AN96" xr:uid="{00000000-0002-0000-0200-00000D000000}">
      <formula1>CN119</formula1>
      <formula2>CL119</formula2>
    </dataValidation>
    <dataValidation type="whole" allowBlank="1" showInputMessage="1" showErrorMessage="1" errorTitle="範囲外で設定されています！" error="上限額と下限額の範囲内で設定してください！" sqref="AN93:AN94" xr:uid="{00000000-0002-0000-0200-00000E000000}">
      <formula1>CN118</formula1>
      <formula2>CL118</formula2>
    </dataValidation>
    <dataValidation type="whole" allowBlank="1" showInputMessage="1" showErrorMessage="1" errorTitle="範囲外で設定されています！" error="上限額と下限額の範囲内で設定してください！" sqref="AK95:AK96" xr:uid="{00000000-0002-0000-0200-00000F000000}">
      <formula1>CN119</formula1>
      <formula2>CL119</formula2>
    </dataValidation>
    <dataValidation type="whole" allowBlank="1" showInputMessage="1" showErrorMessage="1" errorTitle="範囲外で設定されています！" error="上限額と下限額の範囲内で設定してください！" sqref="AJ93:AK94" xr:uid="{00000000-0002-0000-0200-000010000000}">
      <formula1>CM118</formula1>
      <formula2>CK118</formula2>
    </dataValidation>
    <dataValidation type="whole" allowBlank="1" showInputMessage="1" showErrorMessage="1" errorTitle="範囲外で設定されています！" error="上限額と下限額の範囲内で設定してください！" sqref="AL95:AL96" xr:uid="{00000000-0002-0000-0200-000011000000}">
      <formula1>CN119</formula1>
      <formula2>CL119</formula2>
    </dataValidation>
    <dataValidation type="whole" allowBlank="1" showInputMessage="1" showErrorMessage="1" errorTitle="範囲外で設定されています！" error="上限額と下限額の範囲内で設定してください！" sqref="AL93:AL94" xr:uid="{00000000-0002-0000-0200-000012000000}">
      <formula1>CN118</formula1>
      <formula2>CL118</formula2>
    </dataValidation>
    <dataValidation type="whole" allowBlank="1" showInputMessage="1" showErrorMessage="1" errorTitle="範囲外で設定されています！" error="上限額と下限額の範囲内で設定してください！" sqref="AM95:AM96" xr:uid="{00000000-0002-0000-0200-000013000000}">
      <formula1>CN119</formula1>
      <formula2>CL119</formula2>
    </dataValidation>
    <dataValidation type="whole" allowBlank="1" showInputMessage="1" showErrorMessage="1" errorTitle="範囲外で設定されています！" error="上限額と下限額の範囲内で設定してください！" sqref="AM93:AM94" xr:uid="{00000000-0002-0000-0200-000014000000}">
      <formula1>CN118</formula1>
      <formula2>CL118</formula2>
    </dataValidation>
    <dataValidation type="whole" allowBlank="1" showInputMessage="1" showErrorMessage="1" errorTitle="範囲外で設定されています！" error="上限額と下限額の範囲内で設定してください！" sqref="O96" xr:uid="{00000000-0002-0000-0200-000015000000}">
      <formula1>CN120</formula1>
      <formula2>CL120</formula2>
    </dataValidation>
    <dataValidation type="whole" allowBlank="1" showInputMessage="1" showErrorMessage="1" errorTitle="範囲外で設定されています！" error="上限額と下限額の範囲内で設定してください！" sqref="O93" xr:uid="{00000000-0002-0000-0200-000016000000}">
      <formula1>CN118</formula1>
      <formula2>CL118</formula2>
    </dataValidation>
    <dataValidation type="whole" allowBlank="1" showInputMessage="1" showErrorMessage="1" errorTitle="範囲外で設定されています！" error="上限額と下限額の範囲内で設定してください！" sqref="S96" xr:uid="{00000000-0002-0000-0200-000017000000}">
      <formula1>Q92</formula1>
      <formula2>M92</formula2>
    </dataValidation>
    <dataValidation type="whole" allowBlank="1" showInputMessage="1" showErrorMessage="1" errorTitle="範囲外で設定されています！" error="上限額と下限額の範囲内で設定してください！" sqref="S93" xr:uid="{00000000-0002-0000-0200-000018000000}">
      <formula1>Q90</formula1>
      <formula2>M90</formula2>
    </dataValidation>
    <dataValidation type="whole" allowBlank="1" showInputMessage="1" showErrorMessage="1" errorTitle="範囲外で設定されています！" error="上限額と下限額の範囲内で設定してください！" sqref="R96" xr:uid="{00000000-0002-0000-0200-000019000000}">
      <formula1>Q92</formula1>
      <formula2>M92</formula2>
    </dataValidation>
    <dataValidation type="whole" allowBlank="1" showInputMessage="1" showErrorMessage="1" errorTitle="範囲外で設定されています！" error="上限額と下限額の範囲内で設定してください！" sqref="R93" xr:uid="{00000000-0002-0000-0200-00001A000000}">
      <formula1>Q90</formula1>
      <formula2>M90</formula2>
    </dataValidation>
    <dataValidation type="whole" allowBlank="1" showInputMessage="1" showErrorMessage="1" errorTitle="範囲外で設定されています！" error="上限額と下限額の範囲内で設定してください！" sqref="P96" xr:uid="{00000000-0002-0000-0200-00001B000000}">
      <formula1>Q92</formula1>
      <formula2>M92</formula2>
    </dataValidation>
    <dataValidation type="whole" allowBlank="1" showInputMessage="1" showErrorMessage="1" errorTitle="範囲外で設定されています！" error="上限額と下限額の範囲内で設定してください！" sqref="P93" xr:uid="{00000000-0002-0000-0200-00001C000000}">
      <formula1>Q90</formula1>
      <formula2>M90</formula2>
    </dataValidation>
    <dataValidation type="whole" allowBlank="1" showInputMessage="1" showErrorMessage="1" errorTitle="範囲外で設定されています！" error="上限額と下限額の範囲内で設定してください！" sqref="N96" xr:uid="{00000000-0002-0000-0200-00001D000000}">
      <formula1>Q92</formula1>
      <formula2>M92</formula2>
    </dataValidation>
    <dataValidation type="whole" allowBlank="1" showInputMessage="1" showErrorMessage="1" errorTitle="範囲外で設定されています！" error="上限額と下限額の範囲内で設定してください！" sqref="N93" xr:uid="{00000000-0002-0000-0200-00001E000000}">
      <formula1>Q90</formula1>
      <formula2>M90</formula2>
    </dataValidation>
    <dataValidation type="whole" allowBlank="1" showInputMessage="1" showErrorMessage="1" errorTitle="範囲外で設定されています！" error="上限額と下限額の範囲内で設定してください！" sqref="AW38" xr:uid="{00000000-0002-0000-0200-00001F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200-000020000000}">
      <formula1>T37</formula1>
      <formula2>BM38</formula2>
    </dataValidation>
    <dataValidation type="whole" allowBlank="1" showInputMessage="1" showErrorMessage="1" errorTitle="警告" error="上限額と下限額の範囲内で設定してください！" sqref="BK34:BK35" xr:uid="{00000000-0002-0000-0200-000021000000}">
      <formula1>CL13</formula1>
      <formula2>#REF!</formula2>
    </dataValidation>
    <dataValidation type="whole" allowBlank="1" showInputMessage="1" showErrorMessage="1" errorTitle="警告" error="上限額と下限額の範囲内で設定してください！" sqref="BK33" xr:uid="{00000000-0002-0000-0200-000023000000}">
      <formula1>CL13</formula1>
      <formula2>CJ13</formula2>
    </dataValidation>
    <dataValidation type="whole" allowBlank="1" showInputMessage="1" showErrorMessage="1" errorTitle="範囲外で設定されています！" error="上限額と下限額の範囲内で設定してください！" sqref="AH11" xr:uid="{00000000-0002-0000-0200-000024000000}">
      <formula1>CC11</formula1>
      <formula2>CA11</formula2>
    </dataValidation>
    <dataValidation type="whole" allowBlank="1" showInputMessage="1" showErrorMessage="1" errorTitle="範囲外で設定されています！" error="上限額と下限額の範囲内で設定してください！" sqref="AG11" xr:uid="{00000000-0002-0000-0200-000025000000}">
      <formula1>CC11</formula1>
      <formula2>CA11</formula2>
    </dataValidation>
    <dataValidation type="whole" allowBlank="1" showInputMessage="1" showErrorMessage="1" errorTitle="範囲外で設定されています！" error="上限額と下限額の範囲内で設定してください！" sqref="AF11" xr:uid="{00000000-0002-0000-0200-000026000000}">
      <formula1>CC11</formula1>
      <formula2>CA11</formula2>
    </dataValidation>
    <dataValidation type="whole" allowBlank="1" showInputMessage="1" showErrorMessage="1" errorTitle="範囲外で設定されています！" error="上限額と下限額の範囲内で設定してください！" sqref="AE11" xr:uid="{00000000-0002-0000-0200-000027000000}">
      <formula1>CC11</formula1>
      <formula2>CA11</formula2>
    </dataValidation>
    <dataValidation type="whole" allowBlank="1" showInputMessage="1" showErrorMessage="1" errorTitle="範囲外で設定されています！" error="上限額と下限額の範囲内で設定してください！" sqref="AD11" xr:uid="{00000000-0002-0000-0200-000028000000}">
      <formula1>CC11</formula1>
      <formula2>CA11</formula2>
    </dataValidation>
    <dataValidation type="whole" allowBlank="1" showInputMessage="1" showErrorMessage="1" errorTitle="範囲外で設定されています！" error="上限額と下限額の範囲内で設定してください！" sqref="AC11" xr:uid="{00000000-0002-0000-0200-000029000000}">
      <formula1>CC11</formula1>
      <formula2>CA11</formula2>
    </dataValidation>
    <dataValidation type="whole" allowBlank="1" showInputMessage="1" showErrorMessage="1" errorTitle="範囲外で設定されています！" error="上限額と下限額の範囲内で設定してください！" sqref="W11:Z11" xr:uid="{00000000-0002-0000-0200-00002A000000}">
      <formula1>BZ11</formula1>
      <formula2>BX11</formula2>
    </dataValidation>
    <dataValidation type="whole" allowBlank="1" showInputMessage="1" showErrorMessage="1" errorTitle="範囲外で設定されています！" error="上限額と下限額の範囲内で設定してください！" sqref="AA11" xr:uid="{00000000-0002-0000-0200-00002B000000}">
      <formula1>CC11</formula1>
      <formula2>CA11</formula2>
    </dataValidation>
    <dataValidation type="whole" allowBlank="1" showInputMessage="1" showErrorMessage="1" errorTitle="範囲外で設定されています！" error="上限額と下限額の範囲内で設定してください！" sqref="AL11" xr:uid="{00000000-0002-0000-0200-00002C000000}">
      <formula1>V11</formula1>
      <formula2>R11</formula2>
    </dataValidation>
    <dataValidation type="whole" allowBlank="1" showInputMessage="1" showErrorMessage="1" errorTitle="範囲外で設定されています！" error="上限額と下限額の範囲内で設定してください！" sqref="AK11" xr:uid="{00000000-0002-0000-0200-00002D000000}">
      <formula1>V11</formula1>
      <formula2>R11</formula2>
    </dataValidation>
    <dataValidation type="whole" allowBlank="1" showInputMessage="1" showErrorMessage="1" errorTitle="範囲外で設定されています！" error="上限額と下限額の範囲内で設定してください！" sqref="S100" xr:uid="{00000000-0002-0000-0200-00002E000000}">
      <formula1>Q92</formula1>
      <formula2>M92</formula2>
    </dataValidation>
    <dataValidation type="whole" allowBlank="1" showInputMessage="1" showErrorMessage="1" errorTitle="範囲外で設定されています！" error="上限額と下限額の範囲内で設定してください！" sqref="R100" xr:uid="{00000000-0002-0000-0200-00002F000000}">
      <formula1>Q92</formula1>
      <formula2>M92</formula2>
    </dataValidation>
    <dataValidation type="whole" allowBlank="1" showInputMessage="1" showErrorMessage="1" errorTitle="警告" error="上限額と下限額の範囲内で設定してください！" sqref="AZ36" xr:uid="{00000000-0002-0000-0200-000022000000}">
      <formula1>CL14</formula1>
      <formula2>P12</formula2>
    </dataValidation>
  </dataValidations>
  <pageMargins left="0.70866141732283472" right="0.23" top="0.39370078740157483" bottom="0.23622047244094491" header="0.31496062992125984" footer="0.23622047244094491"/>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69850</xdr:colOff>
                    <xdr:row>5</xdr:row>
                    <xdr:rowOff>203200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31750</xdr:colOff>
                    <xdr:row>39</xdr:row>
                    <xdr:rowOff>127000</xdr:rowOff>
                  </from>
                  <to>
                    <xdr:col>25</xdr:col>
                    <xdr:colOff>19050</xdr:colOff>
                    <xdr:row>44</xdr:row>
                    <xdr:rowOff>12700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88900</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88900</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88900</xdr:colOff>
                    <xdr:row>85</xdr:row>
                    <xdr:rowOff>0</xdr:rowOff>
                  </from>
                  <to>
                    <xdr:col>4</xdr:col>
                    <xdr:colOff>114300</xdr:colOff>
                    <xdr:row>86</xdr:row>
                    <xdr:rowOff>88900</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146050</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158750</xdr:colOff>
                    <xdr:row>5</xdr:row>
                    <xdr:rowOff>50800</xdr:rowOff>
                  </from>
                  <to>
                    <xdr:col>9</xdr:col>
                    <xdr:colOff>196850</xdr:colOff>
                    <xdr:row>5</xdr:row>
                    <xdr:rowOff>222250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139700</xdr:colOff>
                    <xdr:row>5</xdr:row>
                    <xdr:rowOff>63500</xdr:rowOff>
                  </from>
                  <to>
                    <xdr:col>13</xdr:col>
                    <xdr:colOff>120650</xdr:colOff>
                    <xdr:row>5</xdr:row>
                    <xdr:rowOff>234950</xdr:rowOff>
                  </to>
                </anchor>
              </controlPr>
            </control>
          </mc:Choice>
        </mc:AlternateContent>
        <mc:AlternateContent xmlns:mc="http://schemas.openxmlformats.org/markup-compatibility/2006">
          <mc:Choice Requires="x14">
            <control shapeId="5130" r:id="rId12" name="Option Button 10">
              <controlPr defaultSize="0" autoFill="0" autoLine="0" autoPict="0">
                <anchor moveWithCells="1">
                  <from>
                    <xdr:col>14</xdr:col>
                    <xdr:colOff>95250</xdr:colOff>
                    <xdr:row>5</xdr:row>
                    <xdr:rowOff>50800</xdr:rowOff>
                  </from>
                  <to>
                    <xdr:col>18</xdr:col>
                    <xdr:colOff>6350</xdr:colOff>
                    <xdr:row>5</xdr:row>
                    <xdr:rowOff>209550</xdr:rowOff>
                  </to>
                </anchor>
              </controlPr>
            </control>
          </mc:Choice>
        </mc:AlternateContent>
        <mc:AlternateContent xmlns:mc="http://schemas.openxmlformats.org/markup-compatibility/2006">
          <mc:Choice Requires="x14">
            <control shapeId="5131" r:id="rId13" name="Option Button 11">
              <controlPr defaultSize="0" autoFill="0" autoLine="0" autoPict="0">
                <anchor moveWithCells="1">
                  <from>
                    <xdr:col>18</xdr:col>
                    <xdr:colOff>209550</xdr:colOff>
                    <xdr:row>4</xdr:row>
                    <xdr:rowOff>311150</xdr:rowOff>
                  </from>
                  <to>
                    <xdr:col>22</xdr:col>
                    <xdr:colOff>146050</xdr:colOff>
                    <xdr:row>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27"/>
  <sheetViews>
    <sheetView showGridLines="0" zoomScale="85" zoomScaleNormal="85" workbookViewId="0">
      <selection activeCell="J34" sqref="J34"/>
    </sheetView>
  </sheetViews>
  <sheetFormatPr defaultRowHeight="13" x14ac:dyDescent="0.2"/>
  <cols>
    <col min="2" max="2" width="9" style="23"/>
    <col min="9" max="9" width="9" style="23"/>
    <col min="16" max="16" width="9" style="23"/>
    <col min="23" max="23" width="9" style="23"/>
    <col min="30" max="30" width="9" style="23"/>
    <col min="37" max="37" width="9" style="23"/>
  </cols>
  <sheetData>
    <row r="1" spans="1:34" x14ac:dyDescent="0.2">
      <c r="A1" s="356" t="s">
        <v>58</v>
      </c>
      <c r="B1" s="357"/>
      <c r="C1" s="357"/>
      <c r="D1" s="357"/>
      <c r="E1" s="358"/>
      <c r="F1" s="234" t="s">
        <v>121</v>
      </c>
      <c r="G1" s="235"/>
      <c r="H1" s="356" t="s">
        <v>59</v>
      </c>
      <c r="I1" s="357"/>
      <c r="J1" s="357"/>
      <c r="K1" s="357"/>
      <c r="L1" s="358"/>
      <c r="M1" s="246" t="s">
        <v>121</v>
      </c>
      <c r="N1" s="235"/>
      <c r="O1" s="356" t="s">
        <v>60</v>
      </c>
      <c r="P1" s="357"/>
      <c r="Q1" s="357"/>
      <c r="R1" s="357"/>
      <c r="S1" s="358"/>
      <c r="T1" s="246" t="s">
        <v>121</v>
      </c>
      <c r="U1" s="235"/>
      <c r="V1" s="356" t="s">
        <v>61</v>
      </c>
      <c r="W1" s="357"/>
      <c r="X1" s="357"/>
      <c r="Y1" s="357"/>
      <c r="Z1" s="358"/>
      <c r="AA1" s="246" t="s">
        <v>121</v>
      </c>
      <c r="AB1" s="235"/>
      <c r="AC1" s="356" t="s">
        <v>63</v>
      </c>
      <c r="AD1" s="357"/>
      <c r="AE1" s="357"/>
      <c r="AF1" s="357"/>
      <c r="AG1" s="358"/>
      <c r="AH1" s="246" t="s">
        <v>121</v>
      </c>
    </row>
    <row r="2" spans="1:34" x14ac:dyDescent="0.2">
      <c r="A2" s="365" t="s">
        <v>1</v>
      </c>
      <c r="B2" s="366" t="s">
        <v>2</v>
      </c>
      <c r="C2" s="234">
        <v>1</v>
      </c>
      <c r="D2" s="356" t="s">
        <v>3</v>
      </c>
      <c r="E2" s="358"/>
      <c r="F2" s="236">
        <v>150</v>
      </c>
      <c r="G2" s="235"/>
      <c r="H2" s="365" t="s">
        <v>1</v>
      </c>
      <c r="I2" s="366" t="s">
        <v>2</v>
      </c>
      <c r="J2" s="245">
        <v>1</v>
      </c>
      <c r="K2" s="356" t="s">
        <v>3</v>
      </c>
      <c r="L2" s="358"/>
      <c r="M2" s="236">
        <v>180</v>
      </c>
      <c r="N2" s="235"/>
      <c r="O2" s="365" t="s">
        <v>1</v>
      </c>
      <c r="P2" s="366" t="s">
        <v>2</v>
      </c>
      <c r="Q2" s="245">
        <v>1</v>
      </c>
      <c r="R2" s="356" t="s">
        <v>3</v>
      </c>
      <c r="S2" s="358"/>
      <c r="T2" s="236">
        <v>170</v>
      </c>
      <c r="U2" s="235"/>
      <c r="V2" s="365" t="s">
        <v>1</v>
      </c>
      <c r="W2" s="366" t="s">
        <v>2</v>
      </c>
      <c r="X2" s="245">
        <v>1</v>
      </c>
      <c r="Y2" s="356" t="s">
        <v>3</v>
      </c>
      <c r="Z2" s="358"/>
      <c r="AA2" s="236">
        <v>160</v>
      </c>
      <c r="AB2" s="235"/>
      <c r="AC2" s="365" t="s">
        <v>1</v>
      </c>
      <c r="AD2" s="366" t="s">
        <v>2</v>
      </c>
      <c r="AE2" s="245">
        <v>1</v>
      </c>
      <c r="AF2" s="356" t="s">
        <v>3</v>
      </c>
      <c r="AG2" s="358"/>
      <c r="AH2" s="236">
        <v>150</v>
      </c>
    </row>
    <row r="3" spans="1:34" x14ac:dyDescent="0.2">
      <c r="A3" s="365"/>
      <c r="B3" s="366"/>
      <c r="C3" s="234">
        <v>2</v>
      </c>
      <c r="D3" s="356" t="s">
        <v>4</v>
      </c>
      <c r="E3" s="358"/>
      <c r="F3" s="236">
        <v>130</v>
      </c>
      <c r="G3" s="235"/>
      <c r="H3" s="365"/>
      <c r="I3" s="366"/>
      <c r="J3" s="245">
        <v>2</v>
      </c>
      <c r="K3" s="356" t="s">
        <v>4</v>
      </c>
      <c r="L3" s="358"/>
      <c r="M3" s="236">
        <v>160</v>
      </c>
      <c r="N3" s="235"/>
      <c r="O3" s="365"/>
      <c r="P3" s="366"/>
      <c r="Q3" s="245">
        <v>2</v>
      </c>
      <c r="R3" s="356" t="s">
        <v>4</v>
      </c>
      <c r="S3" s="358"/>
      <c r="T3" s="236">
        <v>150</v>
      </c>
      <c r="U3" s="235"/>
      <c r="V3" s="365"/>
      <c r="W3" s="366"/>
      <c r="X3" s="245">
        <v>2</v>
      </c>
      <c r="Y3" s="356" t="s">
        <v>4</v>
      </c>
      <c r="Z3" s="358"/>
      <c r="AA3" s="236">
        <v>140</v>
      </c>
      <c r="AB3" s="235"/>
      <c r="AC3" s="365"/>
      <c r="AD3" s="366"/>
      <c r="AE3" s="245">
        <v>2</v>
      </c>
      <c r="AF3" s="356" t="s">
        <v>4</v>
      </c>
      <c r="AG3" s="358"/>
      <c r="AH3" s="236">
        <v>130</v>
      </c>
    </row>
    <row r="4" spans="1:34" x14ac:dyDescent="0.2">
      <c r="A4" s="365"/>
      <c r="B4" s="366"/>
      <c r="C4" s="245">
        <v>3</v>
      </c>
      <c r="D4" s="356" t="s">
        <v>136</v>
      </c>
      <c r="E4" s="358"/>
      <c r="F4" s="236">
        <v>110</v>
      </c>
      <c r="G4" s="235"/>
      <c r="H4" s="365"/>
      <c r="I4" s="366"/>
      <c r="J4" s="245">
        <v>3</v>
      </c>
      <c r="K4" s="356" t="s">
        <v>136</v>
      </c>
      <c r="L4" s="358"/>
      <c r="M4" s="236">
        <v>140</v>
      </c>
      <c r="N4" s="235"/>
      <c r="O4" s="365"/>
      <c r="P4" s="366"/>
      <c r="Q4" s="245">
        <v>3</v>
      </c>
      <c r="R4" s="356" t="s">
        <v>136</v>
      </c>
      <c r="S4" s="358"/>
      <c r="T4" s="236">
        <v>130</v>
      </c>
      <c r="U4" s="235"/>
      <c r="V4" s="365"/>
      <c r="W4" s="366"/>
      <c r="X4" s="245">
        <v>3</v>
      </c>
      <c r="Y4" s="356" t="s">
        <v>136</v>
      </c>
      <c r="Z4" s="358"/>
      <c r="AA4" s="236">
        <v>120</v>
      </c>
      <c r="AB4" s="235"/>
      <c r="AC4" s="365"/>
      <c r="AD4" s="366"/>
      <c r="AE4" s="245">
        <v>3</v>
      </c>
      <c r="AF4" s="356" t="s">
        <v>136</v>
      </c>
      <c r="AG4" s="358"/>
      <c r="AH4" s="236">
        <v>110</v>
      </c>
    </row>
    <row r="5" spans="1:34" x14ac:dyDescent="0.2">
      <c r="A5" s="365"/>
      <c r="B5" s="366"/>
      <c r="C5" s="245">
        <v>4</v>
      </c>
      <c r="D5" s="356" t="s">
        <v>134</v>
      </c>
      <c r="E5" s="358"/>
      <c r="F5" s="236">
        <v>100</v>
      </c>
      <c r="G5" s="235"/>
      <c r="H5" s="365"/>
      <c r="I5" s="366"/>
      <c r="J5" s="245">
        <v>4</v>
      </c>
      <c r="K5" s="356" t="s">
        <v>134</v>
      </c>
      <c r="L5" s="358"/>
      <c r="M5" s="236">
        <v>120</v>
      </c>
      <c r="N5" s="235"/>
      <c r="O5" s="365"/>
      <c r="P5" s="366"/>
      <c r="Q5" s="245">
        <v>4</v>
      </c>
      <c r="R5" s="356" t="s">
        <v>134</v>
      </c>
      <c r="S5" s="358"/>
      <c r="T5" s="236">
        <v>120</v>
      </c>
      <c r="U5" s="235"/>
      <c r="V5" s="365"/>
      <c r="W5" s="366"/>
      <c r="X5" s="245">
        <v>4</v>
      </c>
      <c r="Y5" s="356" t="s">
        <v>134</v>
      </c>
      <c r="Z5" s="358"/>
      <c r="AA5" s="236">
        <v>110</v>
      </c>
      <c r="AB5" s="235"/>
      <c r="AC5" s="365"/>
      <c r="AD5" s="366"/>
      <c r="AE5" s="245">
        <v>4</v>
      </c>
      <c r="AF5" s="356" t="s">
        <v>134</v>
      </c>
      <c r="AG5" s="358"/>
      <c r="AH5" s="236">
        <v>100</v>
      </c>
    </row>
    <row r="6" spans="1:34" x14ac:dyDescent="0.2">
      <c r="A6" s="365"/>
      <c r="B6" s="366" t="s">
        <v>5</v>
      </c>
      <c r="C6" s="245">
        <v>1</v>
      </c>
      <c r="D6" s="356" t="s">
        <v>3</v>
      </c>
      <c r="E6" s="358"/>
      <c r="F6" s="236">
        <v>6080</v>
      </c>
      <c r="G6" s="235"/>
      <c r="H6" s="365"/>
      <c r="I6" s="366" t="s">
        <v>5</v>
      </c>
      <c r="J6" s="245">
        <v>1</v>
      </c>
      <c r="K6" s="356" t="s">
        <v>3</v>
      </c>
      <c r="L6" s="358"/>
      <c r="M6" s="236">
        <v>7130</v>
      </c>
      <c r="N6" s="235"/>
      <c r="O6" s="365"/>
      <c r="P6" s="366" t="s">
        <v>5</v>
      </c>
      <c r="Q6" s="245">
        <v>1</v>
      </c>
      <c r="R6" s="356" t="s">
        <v>3</v>
      </c>
      <c r="S6" s="358"/>
      <c r="T6" s="236">
        <v>7190</v>
      </c>
      <c r="U6" s="235"/>
      <c r="V6" s="365"/>
      <c r="W6" s="366" t="s">
        <v>5</v>
      </c>
      <c r="X6" s="245">
        <v>1</v>
      </c>
      <c r="Y6" s="356" t="s">
        <v>3</v>
      </c>
      <c r="Z6" s="358"/>
      <c r="AA6" s="236">
        <v>7030</v>
      </c>
      <c r="AB6" s="235"/>
      <c r="AC6" s="365"/>
      <c r="AD6" s="366" t="s">
        <v>5</v>
      </c>
      <c r="AE6" s="245">
        <v>1</v>
      </c>
      <c r="AF6" s="356" t="s">
        <v>3</v>
      </c>
      <c r="AG6" s="358"/>
      <c r="AH6" s="236">
        <v>7430</v>
      </c>
    </row>
    <row r="7" spans="1:34" x14ac:dyDescent="0.2">
      <c r="A7" s="365"/>
      <c r="B7" s="366"/>
      <c r="C7" s="245">
        <v>2</v>
      </c>
      <c r="D7" s="356" t="s">
        <v>4</v>
      </c>
      <c r="E7" s="358"/>
      <c r="F7" s="236">
        <v>5130</v>
      </c>
      <c r="G7" s="235"/>
      <c r="H7" s="365"/>
      <c r="I7" s="366"/>
      <c r="J7" s="245">
        <v>2</v>
      </c>
      <c r="K7" s="356" t="s">
        <v>4</v>
      </c>
      <c r="L7" s="358"/>
      <c r="M7" s="236">
        <v>6020</v>
      </c>
      <c r="N7" s="235"/>
      <c r="O7" s="365"/>
      <c r="P7" s="366"/>
      <c r="Q7" s="245">
        <v>2</v>
      </c>
      <c r="R7" s="356" t="s">
        <v>4</v>
      </c>
      <c r="S7" s="358"/>
      <c r="T7" s="236">
        <v>6070</v>
      </c>
      <c r="U7" s="235"/>
      <c r="V7" s="365"/>
      <c r="W7" s="366"/>
      <c r="X7" s="245">
        <v>2</v>
      </c>
      <c r="Y7" s="356" t="s">
        <v>4</v>
      </c>
      <c r="Z7" s="358"/>
      <c r="AA7" s="236">
        <v>5930</v>
      </c>
      <c r="AB7" s="235"/>
      <c r="AC7" s="365"/>
      <c r="AD7" s="366"/>
      <c r="AE7" s="245">
        <v>2</v>
      </c>
      <c r="AF7" s="356" t="s">
        <v>4</v>
      </c>
      <c r="AG7" s="358"/>
      <c r="AH7" s="236">
        <v>6270</v>
      </c>
    </row>
    <row r="8" spans="1:34" x14ac:dyDescent="0.2">
      <c r="A8" s="365"/>
      <c r="B8" s="366"/>
      <c r="C8" s="245">
        <v>3</v>
      </c>
      <c r="D8" s="356" t="s">
        <v>136</v>
      </c>
      <c r="E8" s="358"/>
      <c r="F8" s="236">
        <v>4500</v>
      </c>
      <c r="G8" s="235"/>
      <c r="H8" s="365"/>
      <c r="I8" s="366"/>
      <c r="J8" s="245">
        <v>3</v>
      </c>
      <c r="K8" s="356" t="s">
        <v>136</v>
      </c>
      <c r="L8" s="358"/>
      <c r="M8" s="236">
        <v>5270</v>
      </c>
      <c r="N8" s="235"/>
      <c r="O8" s="365"/>
      <c r="P8" s="366"/>
      <c r="Q8" s="245">
        <v>3</v>
      </c>
      <c r="R8" s="356" t="s">
        <v>136</v>
      </c>
      <c r="S8" s="358"/>
      <c r="T8" s="236">
        <v>5320</v>
      </c>
      <c r="U8" s="235"/>
      <c r="V8" s="365"/>
      <c r="W8" s="366"/>
      <c r="X8" s="245">
        <v>3</v>
      </c>
      <c r="Y8" s="356" t="s">
        <v>136</v>
      </c>
      <c r="Z8" s="358"/>
      <c r="AA8" s="236">
        <v>5190</v>
      </c>
      <c r="AB8" s="235"/>
      <c r="AC8" s="365"/>
      <c r="AD8" s="366"/>
      <c r="AE8" s="245">
        <v>3</v>
      </c>
      <c r="AF8" s="356" t="s">
        <v>136</v>
      </c>
      <c r="AG8" s="358"/>
      <c r="AH8" s="236">
        <v>5490</v>
      </c>
    </row>
    <row r="9" spans="1:34" x14ac:dyDescent="0.2">
      <c r="A9" s="365"/>
      <c r="B9" s="366"/>
      <c r="C9" s="245">
        <v>4</v>
      </c>
      <c r="D9" s="356" t="s">
        <v>134</v>
      </c>
      <c r="E9" s="358"/>
      <c r="F9" s="236">
        <v>4010</v>
      </c>
      <c r="G9" s="235"/>
      <c r="H9" s="365"/>
      <c r="I9" s="366"/>
      <c r="J9" s="245">
        <v>4</v>
      </c>
      <c r="K9" s="356" t="s">
        <v>134</v>
      </c>
      <c r="L9" s="358"/>
      <c r="M9" s="236">
        <v>4700</v>
      </c>
      <c r="N9" s="235"/>
      <c r="O9" s="365"/>
      <c r="P9" s="366"/>
      <c r="Q9" s="245">
        <v>4</v>
      </c>
      <c r="R9" s="356" t="s">
        <v>134</v>
      </c>
      <c r="S9" s="358"/>
      <c r="T9" s="236">
        <v>4740</v>
      </c>
      <c r="U9" s="235"/>
      <c r="V9" s="365"/>
      <c r="W9" s="366"/>
      <c r="X9" s="245">
        <v>4</v>
      </c>
      <c r="Y9" s="356" t="s">
        <v>134</v>
      </c>
      <c r="Z9" s="358"/>
      <c r="AA9" s="236">
        <v>4630</v>
      </c>
      <c r="AB9" s="235"/>
      <c r="AC9" s="365"/>
      <c r="AD9" s="366"/>
      <c r="AE9" s="245">
        <v>4</v>
      </c>
      <c r="AF9" s="356" t="s">
        <v>134</v>
      </c>
      <c r="AG9" s="358"/>
      <c r="AH9" s="236">
        <v>4900</v>
      </c>
    </row>
    <row r="10" spans="1:34" x14ac:dyDescent="0.2">
      <c r="A10" s="365" t="s">
        <v>8</v>
      </c>
      <c r="B10" s="366" t="s">
        <v>25</v>
      </c>
      <c r="C10" s="359" t="s">
        <v>2</v>
      </c>
      <c r="D10" s="360"/>
      <c r="E10" s="361"/>
      <c r="F10" s="237">
        <v>10</v>
      </c>
      <c r="G10" s="238"/>
      <c r="H10" s="362" t="s">
        <v>8</v>
      </c>
      <c r="I10" s="363" t="s">
        <v>25</v>
      </c>
      <c r="J10" s="359" t="s">
        <v>2</v>
      </c>
      <c r="K10" s="360"/>
      <c r="L10" s="361"/>
      <c r="M10" s="237">
        <v>20</v>
      </c>
      <c r="N10" s="238"/>
      <c r="O10" s="362" t="s">
        <v>8</v>
      </c>
      <c r="P10" s="363" t="s">
        <v>25</v>
      </c>
      <c r="Q10" s="359" t="s">
        <v>2</v>
      </c>
      <c r="R10" s="360"/>
      <c r="S10" s="361"/>
      <c r="T10" s="237">
        <v>40</v>
      </c>
      <c r="U10" s="238"/>
      <c r="V10" s="362" t="s">
        <v>8</v>
      </c>
      <c r="W10" s="363" t="s">
        <v>25</v>
      </c>
      <c r="X10" s="359" t="s">
        <v>2</v>
      </c>
      <c r="Y10" s="360"/>
      <c r="Z10" s="361"/>
      <c r="AA10" s="237">
        <v>20</v>
      </c>
      <c r="AB10" s="238"/>
      <c r="AC10" s="362" t="s">
        <v>8</v>
      </c>
      <c r="AD10" s="363" t="s">
        <v>25</v>
      </c>
      <c r="AE10" s="359" t="s">
        <v>2</v>
      </c>
      <c r="AF10" s="360"/>
      <c r="AG10" s="361"/>
      <c r="AH10" s="237">
        <v>30</v>
      </c>
    </row>
    <row r="11" spans="1:34" x14ac:dyDescent="0.2">
      <c r="A11" s="365"/>
      <c r="B11" s="366"/>
      <c r="C11" s="239" t="s">
        <v>5</v>
      </c>
      <c r="D11" s="239"/>
      <c r="E11" s="237"/>
      <c r="F11" s="237">
        <v>2410</v>
      </c>
      <c r="G11" s="238"/>
      <c r="H11" s="362"/>
      <c r="I11" s="363"/>
      <c r="J11" s="359" t="s">
        <v>5</v>
      </c>
      <c r="K11" s="360"/>
      <c r="L11" s="361"/>
      <c r="M11" s="237">
        <v>2400</v>
      </c>
      <c r="N11" s="238"/>
      <c r="O11" s="362"/>
      <c r="P11" s="363"/>
      <c r="Q11" s="359" t="s">
        <v>5</v>
      </c>
      <c r="R11" s="360"/>
      <c r="S11" s="361"/>
      <c r="T11" s="237">
        <v>2670</v>
      </c>
      <c r="U11" s="238"/>
      <c r="V11" s="362"/>
      <c r="W11" s="363"/>
      <c r="X11" s="359" t="s">
        <v>5</v>
      </c>
      <c r="Y11" s="360"/>
      <c r="Z11" s="361"/>
      <c r="AA11" s="237">
        <v>2470</v>
      </c>
      <c r="AB11" s="238"/>
      <c r="AC11" s="362"/>
      <c r="AD11" s="363"/>
      <c r="AE11" s="359" t="s">
        <v>5</v>
      </c>
      <c r="AF11" s="360"/>
      <c r="AG11" s="361"/>
      <c r="AH11" s="237">
        <v>2610</v>
      </c>
    </row>
    <row r="12" spans="1:34" ht="27" customHeight="1" x14ac:dyDescent="0.2">
      <c r="A12" s="365"/>
      <c r="B12" s="240" t="s">
        <v>9</v>
      </c>
      <c r="C12" s="364" t="s">
        <v>125</v>
      </c>
      <c r="D12" s="364"/>
      <c r="E12" s="364"/>
      <c r="F12" s="364"/>
      <c r="G12" s="238"/>
      <c r="H12" s="362"/>
      <c r="I12" s="241" t="s">
        <v>9</v>
      </c>
      <c r="J12" s="364" t="s">
        <v>125</v>
      </c>
      <c r="K12" s="364"/>
      <c r="L12" s="364"/>
      <c r="M12" s="364"/>
      <c r="N12" s="238"/>
      <c r="O12" s="362"/>
      <c r="P12" s="241" t="s">
        <v>9</v>
      </c>
      <c r="Q12" s="364" t="s">
        <v>125</v>
      </c>
      <c r="R12" s="364"/>
      <c r="S12" s="364"/>
      <c r="T12" s="364"/>
      <c r="U12" s="238"/>
      <c r="V12" s="362"/>
      <c r="W12" s="241" t="s">
        <v>9</v>
      </c>
      <c r="X12" s="364" t="s">
        <v>125</v>
      </c>
      <c r="Y12" s="364"/>
      <c r="Z12" s="364"/>
      <c r="AA12" s="364"/>
      <c r="AB12" s="238"/>
      <c r="AC12" s="362"/>
      <c r="AD12" s="241" t="s">
        <v>9</v>
      </c>
      <c r="AE12" s="364" t="s">
        <v>125</v>
      </c>
      <c r="AF12" s="364"/>
      <c r="AG12" s="364"/>
      <c r="AH12" s="364"/>
    </row>
    <row r="13" spans="1:34" ht="26" x14ac:dyDescent="0.2">
      <c r="A13" s="365"/>
      <c r="B13" s="240" t="s">
        <v>10</v>
      </c>
      <c r="C13" s="362" t="s">
        <v>126</v>
      </c>
      <c r="D13" s="362"/>
      <c r="E13" s="362"/>
      <c r="F13" s="362"/>
      <c r="G13" s="238"/>
      <c r="H13" s="362"/>
      <c r="I13" s="241" t="s">
        <v>10</v>
      </c>
      <c r="J13" s="362" t="s">
        <v>126</v>
      </c>
      <c r="K13" s="362"/>
      <c r="L13" s="362"/>
      <c r="M13" s="362"/>
      <c r="N13" s="238"/>
      <c r="O13" s="362"/>
      <c r="P13" s="241" t="s">
        <v>10</v>
      </c>
      <c r="Q13" s="362" t="s">
        <v>126</v>
      </c>
      <c r="R13" s="362"/>
      <c r="S13" s="362"/>
      <c r="T13" s="362"/>
      <c r="U13" s="238"/>
      <c r="V13" s="362"/>
      <c r="W13" s="241" t="s">
        <v>10</v>
      </c>
      <c r="X13" s="362" t="s">
        <v>126</v>
      </c>
      <c r="Y13" s="362"/>
      <c r="Z13" s="362"/>
      <c r="AA13" s="362"/>
      <c r="AB13" s="238"/>
      <c r="AC13" s="362"/>
      <c r="AD13" s="241" t="s">
        <v>10</v>
      </c>
      <c r="AE13" s="362" t="s">
        <v>126</v>
      </c>
      <c r="AF13" s="362"/>
      <c r="AG13" s="362"/>
      <c r="AH13" s="362"/>
    </row>
    <row r="14" spans="1:34" x14ac:dyDescent="0.2">
      <c r="A14" s="235"/>
      <c r="B14" s="242"/>
      <c r="C14" s="235"/>
      <c r="D14" s="235"/>
      <c r="E14" s="235"/>
      <c r="F14" s="235"/>
      <c r="G14" s="235"/>
      <c r="H14" s="235"/>
      <c r="I14" s="242"/>
      <c r="J14" s="235"/>
      <c r="K14" s="235"/>
      <c r="L14" s="235"/>
      <c r="M14" s="235"/>
      <c r="N14" s="235"/>
      <c r="O14" s="235"/>
      <c r="P14" s="242"/>
      <c r="Q14" s="235"/>
      <c r="R14" s="235"/>
      <c r="S14" s="235"/>
      <c r="T14" s="235"/>
      <c r="U14" s="235"/>
      <c r="V14" s="235"/>
      <c r="W14" s="242"/>
      <c r="X14" s="235"/>
      <c r="Y14" s="235"/>
      <c r="Z14" s="235"/>
      <c r="AA14" s="235"/>
      <c r="AB14" s="235"/>
      <c r="AC14" s="238"/>
      <c r="AD14" s="243"/>
      <c r="AE14" s="238"/>
      <c r="AF14" s="238"/>
      <c r="AG14" s="238"/>
      <c r="AH14" s="238"/>
    </row>
    <row r="15" spans="1:34" x14ac:dyDescent="0.2">
      <c r="A15" s="356" t="s">
        <v>62</v>
      </c>
      <c r="B15" s="357"/>
      <c r="C15" s="357"/>
      <c r="D15" s="357"/>
      <c r="E15" s="358"/>
      <c r="F15" s="246" t="s">
        <v>121</v>
      </c>
      <c r="G15" s="235"/>
      <c r="H15" s="356" t="s">
        <v>87</v>
      </c>
      <c r="I15" s="357"/>
      <c r="J15" s="357"/>
      <c r="K15" s="357"/>
      <c r="L15" s="358"/>
      <c r="M15" s="246" t="s">
        <v>121</v>
      </c>
      <c r="N15" s="235"/>
      <c r="O15" s="356" t="s">
        <v>64</v>
      </c>
      <c r="P15" s="357"/>
      <c r="Q15" s="357"/>
      <c r="R15" s="357"/>
      <c r="S15" s="358"/>
      <c r="T15" s="246" t="s">
        <v>121</v>
      </c>
      <c r="U15" s="235"/>
      <c r="V15" s="356" t="s">
        <v>65</v>
      </c>
      <c r="W15" s="357"/>
      <c r="X15" s="357"/>
      <c r="Y15" s="357"/>
      <c r="Z15" s="358"/>
      <c r="AA15" s="246" t="s">
        <v>121</v>
      </c>
      <c r="AB15" s="235"/>
      <c r="AC15" s="359" t="s">
        <v>135</v>
      </c>
      <c r="AD15" s="360"/>
      <c r="AE15" s="360"/>
      <c r="AF15" s="360"/>
      <c r="AG15" s="361"/>
      <c r="AH15" s="246" t="s">
        <v>121</v>
      </c>
    </row>
    <row r="16" spans="1:34" x14ac:dyDescent="0.2">
      <c r="A16" s="365" t="s">
        <v>1</v>
      </c>
      <c r="B16" s="366" t="s">
        <v>2</v>
      </c>
      <c r="C16" s="245">
        <v>1</v>
      </c>
      <c r="D16" s="356" t="s">
        <v>3</v>
      </c>
      <c r="E16" s="358"/>
      <c r="F16" s="236">
        <v>170</v>
      </c>
      <c r="G16" s="235"/>
      <c r="H16" s="365" t="s">
        <v>1</v>
      </c>
      <c r="I16" s="366" t="s">
        <v>2</v>
      </c>
      <c r="J16" s="245">
        <v>1</v>
      </c>
      <c r="K16" s="356" t="s">
        <v>3</v>
      </c>
      <c r="L16" s="358"/>
      <c r="M16" s="236">
        <v>200</v>
      </c>
      <c r="N16" s="235"/>
      <c r="O16" s="365" t="s">
        <v>1</v>
      </c>
      <c r="P16" s="366" t="s">
        <v>2</v>
      </c>
      <c r="Q16" s="245">
        <v>1</v>
      </c>
      <c r="R16" s="356" t="s">
        <v>3</v>
      </c>
      <c r="S16" s="358"/>
      <c r="T16" s="236">
        <v>150</v>
      </c>
      <c r="U16" s="235"/>
      <c r="V16" s="365" t="s">
        <v>1</v>
      </c>
      <c r="W16" s="366" t="s">
        <v>2</v>
      </c>
      <c r="X16" s="245">
        <v>1</v>
      </c>
      <c r="Y16" s="356" t="s">
        <v>3</v>
      </c>
      <c r="Z16" s="358"/>
      <c r="AA16" s="236">
        <v>150</v>
      </c>
      <c r="AB16" s="235"/>
      <c r="AC16" s="362" t="s">
        <v>1</v>
      </c>
      <c r="AD16" s="363" t="s">
        <v>2</v>
      </c>
      <c r="AE16" s="245">
        <v>1</v>
      </c>
      <c r="AF16" s="359" t="s">
        <v>3</v>
      </c>
      <c r="AG16" s="361"/>
      <c r="AH16" s="237">
        <v>210</v>
      </c>
    </row>
    <row r="17" spans="1:34" x14ac:dyDescent="0.2">
      <c r="A17" s="365"/>
      <c r="B17" s="366"/>
      <c r="C17" s="245">
        <v>2</v>
      </c>
      <c r="D17" s="356" t="s">
        <v>4</v>
      </c>
      <c r="E17" s="358"/>
      <c r="F17" s="236">
        <v>140</v>
      </c>
      <c r="G17" s="235"/>
      <c r="H17" s="365"/>
      <c r="I17" s="366"/>
      <c r="J17" s="245">
        <v>2</v>
      </c>
      <c r="K17" s="356" t="s">
        <v>4</v>
      </c>
      <c r="L17" s="358"/>
      <c r="M17" s="236">
        <v>170</v>
      </c>
      <c r="N17" s="235"/>
      <c r="O17" s="365"/>
      <c r="P17" s="366"/>
      <c r="Q17" s="245">
        <v>2</v>
      </c>
      <c r="R17" s="356" t="s">
        <v>4</v>
      </c>
      <c r="S17" s="358"/>
      <c r="T17" s="236">
        <v>130</v>
      </c>
      <c r="U17" s="235"/>
      <c r="V17" s="365"/>
      <c r="W17" s="366"/>
      <c r="X17" s="245">
        <v>2</v>
      </c>
      <c r="Y17" s="356" t="s">
        <v>4</v>
      </c>
      <c r="Z17" s="358"/>
      <c r="AA17" s="236">
        <v>130</v>
      </c>
      <c r="AB17" s="235"/>
      <c r="AC17" s="362"/>
      <c r="AD17" s="363"/>
      <c r="AE17" s="245">
        <v>2</v>
      </c>
      <c r="AF17" s="359" t="s">
        <v>4</v>
      </c>
      <c r="AG17" s="361"/>
      <c r="AH17" s="237">
        <v>180</v>
      </c>
    </row>
    <row r="18" spans="1:34" x14ac:dyDescent="0.2">
      <c r="A18" s="365"/>
      <c r="B18" s="366"/>
      <c r="C18" s="245">
        <v>3</v>
      </c>
      <c r="D18" s="356" t="s">
        <v>136</v>
      </c>
      <c r="E18" s="358"/>
      <c r="F18" s="236">
        <v>120</v>
      </c>
      <c r="G18" s="235"/>
      <c r="H18" s="365"/>
      <c r="I18" s="366"/>
      <c r="J18" s="245">
        <v>3</v>
      </c>
      <c r="K18" s="356" t="s">
        <v>136</v>
      </c>
      <c r="L18" s="358"/>
      <c r="M18" s="236">
        <v>150</v>
      </c>
      <c r="N18" s="235"/>
      <c r="O18" s="365"/>
      <c r="P18" s="366"/>
      <c r="Q18" s="245">
        <v>3</v>
      </c>
      <c r="R18" s="356" t="s">
        <v>136</v>
      </c>
      <c r="S18" s="358"/>
      <c r="T18" s="236">
        <v>110</v>
      </c>
      <c r="U18" s="235"/>
      <c r="V18" s="365"/>
      <c r="W18" s="366"/>
      <c r="X18" s="245">
        <v>3</v>
      </c>
      <c r="Y18" s="356" t="s">
        <v>136</v>
      </c>
      <c r="Z18" s="358"/>
      <c r="AA18" s="236">
        <v>120</v>
      </c>
      <c r="AB18" s="235"/>
      <c r="AC18" s="362"/>
      <c r="AD18" s="363"/>
      <c r="AE18" s="245">
        <v>3</v>
      </c>
      <c r="AF18" s="356" t="s">
        <v>136</v>
      </c>
      <c r="AG18" s="358"/>
      <c r="AH18" s="237">
        <v>160</v>
      </c>
    </row>
    <row r="19" spans="1:34" x14ac:dyDescent="0.2">
      <c r="A19" s="365"/>
      <c r="B19" s="366"/>
      <c r="C19" s="245">
        <v>4</v>
      </c>
      <c r="D19" s="356" t="s">
        <v>134</v>
      </c>
      <c r="E19" s="358"/>
      <c r="F19" s="236">
        <v>110</v>
      </c>
      <c r="G19" s="235"/>
      <c r="H19" s="365"/>
      <c r="I19" s="366"/>
      <c r="J19" s="245">
        <v>4</v>
      </c>
      <c r="K19" s="356" t="s">
        <v>134</v>
      </c>
      <c r="L19" s="358"/>
      <c r="M19" s="236">
        <v>130</v>
      </c>
      <c r="N19" s="235"/>
      <c r="O19" s="365"/>
      <c r="P19" s="366"/>
      <c r="Q19" s="245">
        <v>4</v>
      </c>
      <c r="R19" s="356" t="s">
        <v>134</v>
      </c>
      <c r="S19" s="358"/>
      <c r="T19" s="236">
        <v>100</v>
      </c>
      <c r="U19" s="235"/>
      <c r="V19" s="365"/>
      <c r="W19" s="366"/>
      <c r="X19" s="245">
        <v>4</v>
      </c>
      <c r="Y19" s="356" t="s">
        <v>134</v>
      </c>
      <c r="Z19" s="358"/>
      <c r="AA19" s="236">
        <v>100</v>
      </c>
      <c r="AB19" s="235"/>
      <c r="AC19" s="362"/>
      <c r="AD19" s="363"/>
      <c r="AE19" s="245">
        <v>4</v>
      </c>
      <c r="AF19" s="356" t="s">
        <v>134</v>
      </c>
      <c r="AG19" s="358"/>
      <c r="AH19" s="237">
        <v>140</v>
      </c>
    </row>
    <row r="20" spans="1:34" x14ac:dyDescent="0.2">
      <c r="A20" s="365"/>
      <c r="B20" s="366" t="s">
        <v>5</v>
      </c>
      <c r="C20" s="245">
        <v>1</v>
      </c>
      <c r="D20" s="356" t="s">
        <v>3</v>
      </c>
      <c r="E20" s="358"/>
      <c r="F20" s="236">
        <v>8040</v>
      </c>
      <c r="G20" s="235"/>
      <c r="H20" s="365"/>
      <c r="I20" s="366" t="s">
        <v>5</v>
      </c>
      <c r="J20" s="245">
        <v>1</v>
      </c>
      <c r="K20" s="356" t="s">
        <v>3</v>
      </c>
      <c r="L20" s="358"/>
      <c r="M20" s="236">
        <v>6890</v>
      </c>
      <c r="N20" s="235"/>
      <c r="O20" s="365"/>
      <c r="P20" s="366" t="s">
        <v>5</v>
      </c>
      <c r="Q20" s="245">
        <v>1</v>
      </c>
      <c r="R20" s="356" t="s">
        <v>3</v>
      </c>
      <c r="S20" s="358"/>
      <c r="T20" s="236">
        <v>6940</v>
      </c>
      <c r="U20" s="235"/>
      <c r="V20" s="365"/>
      <c r="W20" s="366" t="s">
        <v>5</v>
      </c>
      <c r="X20" s="245">
        <v>1</v>
      </c>
      <c r="Y20" s="356" t="s">
        <v>3</v>
      </c>
      <c r="Z20" s="358"/>
      <c r="AA20" s="236">
        <v>6920</v>
      </c>
      <c r="AB20" s="235"/>
      <c r="AC20" s="362"/>
      <c r="AD20" s="363" t="s">
        <v>5</v>
      </c>
      <c r="AE20" s="245">
        <v>1</v>
      </c>
      <c r="AF20" s="359" t="s">
        <v>3</v>
      </c>
      <c r="AG20" s="361"/>
      <c r="AH20" s="237">
        <v>5710</v>
      </c>
    </row>
    <row r="21" spans="1:34" x14ac:dyDescent="0.2">
      <c r="A21" s="365"/>
      <c r="B21" s="366"/>
      <c r="C21" s="245">
        <v>2</v>
      </c>
      <c r="D21" s="356" t="s">
        <v>4</v>
      </c>
      <c r="E21" s="358"/>
      <c r="F21" s="236">
        <v>6790</v>
      </c>
      <c r="G21" s="235"/>
      <c r="H21" s="365"/>
      <c r="I21" s="366"/>
      <c r="J21" s="245">
        <v>2</v>
      </c>
      <c r="K21" s="356" t="s">
        <v>4</v>
      </c>
      <c r="L21" s="358"/>
      <c r="M21" s="236">
        <v>5820</v>
      </c>
      <c r="N21" s="235"/>
      <c r="O21" s="365"/>
      <c r="P21" s="366"/>
      <c r="Q21" s="245">
        <v>2</v>
      </c>
      <c r="R21" s="356" t="s">
        <v>4</v>
      </c>
      <c r="S21" s="358"/>
      <c r="T21" s="236">
        <v>5860</v>
      </c>
      <c r="U21" s="235"/>
      <c r="V21" s="365"/>
      <c r="W21" s="366"/>
      <c r="X21" s="245">
        <v>2</v>
      </c>
      <c r="Y21" s="356" t="s">
        <v>4</v>
      </c>
      <c r="Z21" s="358"/>
      <c r="AA21" s="236">
        <v>5840</v>
      </c>
      <c r="AB21" s="235"/>
      <c r="AC21" s="362"/>
      <c r="AD21" s="363"/>
      <c r="AE21" s="245">
        <v>2</v>
      </c>
      <c r="AF21" s="359" t="s">
        <v>4</v>
      </c>
      <c r="AG21" s="361"/>
      <c r="AH21" s="237">
        <v>4820</v>
      </c>
    </row>
    <row r="22" spans="1:34" x14ac:dyDescent="0.2">
      <c r="A22" s="365"/>
      <c r="B22" s="366"/>
      <c r="C22" s="245">
        <v>3</v>
      </c>
      <c r="D22" s="356" t="s">
        <v>136</v>
      </c>
      <c r="E22" s="358"/>
      <c r="F22" s="236">
        <v>5950</v>
      </c>
      <c r="G22" s="235"/>
      <c r="H22" s="365"/>
      <c r="I22" s="366"/>
      <c r="J22" s="245">
        <v>3</v>
      </c>
      <c r="K22" s="356" t="s">
        <v>136</v>
      </c>
      <c r="L22" s="358"/>
      <c r="M22" s="236">
        <v>5090</v>
      </c>
      <c r="N22" s="235"/>
      <c r="O22" s="365"/>
      <c r="P22" s="366"/>
      <c r="Q22" s="245">
        <v>3</v>
      </c>
      <c r="R22" s="356" t="s">
        <v>136</v>
      </c>
      <c r="S22" s="358"/>
      <c r="T22" s="236">
        <v>5130</v>
      </c>
      <c r="U22" s="235"/>
      <c r="V22" s="365"/>
      <c r="W22" s="366"/>
      <c r="X22" s="245">
        <v>3</v>
      </c>
      <c r="Y22" s="356" t="s">
        <v>136</v>
      </c>
      <c r="Z22" s="358"/>
      <c r="AA22" s="236">
        <v>5110</v>
      </c>
      <c r="AB22" s="235"/>
      <c r="AC22" s="362"/>
      <c r="AD22" s="363"/>
      <c r="AE22" s="245">
        <v>3</v>
      </c>
      <c r="AF22" s="356" t="s">
        <v>136</v>
      </c>
      <c r="AG22" s="358"/>
      <c r="AH22" s="237">
        <v>4220</v>
      </c>
    </row>
    <row r="23" spans="1:34" x14ac:dyDescent="0.2">
      <c r="A23" s="365"/>
      <c r="B23" s="366"/>
      <c r="C23" s="245">
        <v>4</v>
      </c>
      <c r="D23" s="356" t="s">
        <v>134</v>
      </c>
      <c r="E23" s="358"/>
      <c r="F23" s="236">
        <v>5300</v>
      </c>
      <c r="G23" s="235"/>
      <c r="H23" s="365"/>
      <c r="I23" s="366"/>
      <c r="J23" s="245">
        <v>4</v>
      </c>
      <c r="K23" s="356" t="s">
        <v>134</v>
      </c>
      <c r="L23" s="358"/>
      <c r="M23" s="236">
        <v>4540</v>
      </c>
      <c r="N23" s="235"/>
      <c r="O23" s="365"/>
      <c r="P23" s="366"/>
      <c r="Q23" s="245">
        <v>4</v>
      </c>
      <c r="R23" s="356" t="s">
        <v>134</v>
      </c>
      <c r="S23" s="358"/>
      <c r="T23" s="236">
        <v>4570</v>
      </c>
      <c r="U23" s="235"/>
      <c r="V23" s="365"/>
      <c r="W23" s="366"/>
      <c r="X23" s="245">
        <v>4</v>
      </c>
      <c r="Y23" s="356" t="s">
        <v>134</v>
      </c>
      <c r="Z23" s="358"/>
      <c r="AA23" s="236">
        <v>4560</v>
      </c>
      <c r="AB23" s="235"/>
      <c r="AC23" s="362"/>
      <c r="AD23" s="363"/>
      <c r="AE23" s="245">
        <v>4</v>
      </c>
      <c r="AF23" s="356" t="s">
        <v>134</v>
      </c>
      <c r="AG23" s="358"/>
      <c r="AH23" s="237">
        <v>3760</v>
      </c>
    </row>
    <row r="24" spans="1:34" x14ac:dyDescent="0.2">
      <c r="A24" s="362" t="s">
        <v>8</v>
      </c>
      <c r="B24" s="363" t="s">
        <v>25</v>
      </c>
      <c r="C24" s="359" t="s">
        <v>2</v>
      </c>
      <c r="D24" s="360"/>
      <c r="E24" s="361"/>
      <c r="F24" s="237">
        <v>30</v>
      </c>
      <c r="G24" s="238"/>
      <c r="H24" s="362" t="s">
        <v>8</v>
      </c>
      <c r="I24" s="363" t="s">
        <v>25</v>
      </c>
      <c r="J24" s="359" t="s">
        <v>2</v>
      </c>
      <c r="K24" s="360"/>
      <c r="L24" s="361"/>
      <c r="M24" s="237">
        <v>30</v>
      </c>
      <c r="N24" s="238"/>
      <c r="O24" s="362" t="s">
        <v>8</v>
      </c>
      <c r="P24" s="363" t="s">
        <v>25</v>
      </c>
      <c r="Q24" s="359" t="s">
        <v>2</v>
      </c>
      <c r="R24" s="360"/>
      <c r="S24" s="361"/>
      <c r="T24" s="237">
        <v>30</v>
      </c>
      <c r="U24" s="238"/>
      <c r="V24" s="362" t="s">
        <v>8</v>
      </c>
      <c r="W24" s="363" t="s">
        <v>25</v>
      </c>
      <c r="X24" s="359" t="s">
        <v>2</v>
      </c>
      <c r="Y24" s="360"/>
      <c r="Z24" s="361"/>
      <c r="AA24" s="237">
        <v>10</v>
      </c>
      <c r="AB24" s="235"/>
      <c r="AC24" s="362" t="s">
        <v>8</v>
      </c>
      <c r="AD24" s="363" t="s">
        <v>25</v>
      </c>
      <c r="AE24" s="359" t="s">
        <v>2</v>
      </c>
      <c r="AF24" s="360"/>
      <c r="AG24" s="361"/>
      <c r="AH24" s="237">
        <v>30</v>
      </c>
    </row>
    <row r="25" spans="1:34" x14ac:dyDescent="0.2">
      <c r="A25" s="362"/>
      <c r="B25" s="363"/>
      <c r="C25" s="359" t="s">
        <v>5</v>
      </c>
      <c r="D25" s="360"/>
      <c r="E25" s="361"/>
      <c r="F25" s="237">
        <v>2480</v>
      </c>
      <c r="G25" s="238"/>
      <c r="H25" s="362"/>
      <c r="I25" s="363"/>
      <c r="J25" s="359" t="s">
        <v>5</v>
      </c>
      <c r="K25" s="360"/>
      <c r="L25" s="361"/>
      <c r="M25" s="237">
        <v>2460</v>
      </c>
      <c r="N25" s="238"/>
      <c r="O25" s="362"/>
      <c r="P25" s="363"/>
      <c r="Q25" s="359" t="s">
        <v>5</v>
      </c>
      <c r="R25" s="360"/>
      <c r="S25" s="361"/>
      <c r="T25" s="237">
        <v>2420</v>
      </c>
      <c r="U25" s="238"/>
      <c r="V25" s="362"/>
      <c r="W25" s="363"/>
      <c r="X25" s="359" t="s">
        <v>5</v>
      </c>
      <c r="Y25" s="360"/>
      <c r="Z25" s="361"/>
      <c r="AA25" s="237">
        <v>2430</v>
      </c>
      <c r="AB25" s="235"/>
      <c r="AC25" s="362"/>
      <c r="AD25" s="363"/>
      <c r="AE25" s="359" t="s">
        <v>5</v>
      </c>
      <c r="AF25" s="360"/>
      <c r="AG25" s="361"/>
      <c r="AH25" s="237">
        <v>2660</v>
      </c>
    </row>
    <row r="26" spans="1:34" ht="27" customHeight="1" x14ac:dyDescent="0.2">
      <c r="A26" s="362"/>
      <c r="B26" s="241" t="s">
        <v>9</v>
      </c>
      <c r="C26" s="364" t="s">
        <v>125</v>
      </c>
      <c r="D26" s="364"/>
      <c r="E26" s="364"/>
      <c r="F26" s="364"/>
      <c r="G26" s="238"/>
      <c r="H26" s="362"/>
      <c r="I26" s="241" t="s">
        <v>9</v>
      </c>
      <c r="J26" s="364" t="s">
        <v>125</v>
      </c>
      <c r="K26" s="364"/>
      <c r="L26" s="364"/>
      <c r="M26" s="364"/>
      <c r="N26" s="238"/>
      <c r="O26" s="362"/>
      <c r="P26" s="241" t="s">
        <v>9</v>
      </c>
      <c r="Q26" s="364" t="s">
        <v>125</v>
      </c>
      <c r="R26" s="364"/>
      <c r="S26" s="364"/>
      <c r="T26" s="364"/>
      <c r="U26" s="238"/>
      <c r="V26" s="362"/>
      <c r="W26" s="241" t="s">
        <v>9</v>
      </c>
      <c r="X26" s="364" t="s">
        <v>125</v>
      </c>
      <c r="Y26" s="364"/>
      <c r="Z26" s="364"/>
      <c r="AA26" s="364"/>
      <c r="AB26" s="235"/>
      <c r="AC26" s="362"/>
      <c r="AD26" s="241" t="s">
        <v>9</v>
      </c>
      <c r="AE26" s="364" t="s">
        <v>125</v>
      </c>
      <c r="AF26" s="364"/>
      <c r="AG26" s="364"/>
      <c r="AH26" s="364"/>
    </row>
    <row r="27" spans="1:34" ht="26" x14ac:dyDescent="0.2">
      <c r="A27" s="362"/>
      <c r="B27" s="241" t="s">
        <v>10</v>
      </c>
      <c r="C27" s="362" t="s">
        <v>126</v>
      </c>
      <c r="D27" s="362"/>
      <c r="E27" s="362"/>
      <c r="F27" s="362"/>
      <c r="G27" s="238"/>
      <c r="H27" s="362"/>
      <c r="I27" s="241" t="s">
        <v>10</v>
      </c>
      <c r="J27" s="362" t="s">
        <v>126</v>
      </c>
      <c r="K27" s="362"/>
      <c r="L27" s="362"/>
      <c r="M27" s="362"/>
      <c r="N27" s="238"/>
      <c r="O27" s="362"/>
      <c r="P27" s="241" t="s">
        <v>10</v>
      </c>
      <c r="Q27" s="362" t="s">
        <v>126</v>
      </c>
      <c r="R27" s="362"/>
      <c r="S27" s="362"/>
      <c r="T27" s="362"/>
      <c r="U27" s="238"/>
      <c r="V27" s="362"/>
      <c r="W27" s="241" t="s">
        <v>10</v>
      </c>
      <c r="X27" s="362" t="s">
        <v>126</v>
      </c>
      <c r="Y27" s="362"/>
      <c r="Z27" s="362"/>
      <c r="AA27" s="362"/>
      <c r="AB27" s="235"/>
      <c r="AC27" s="362"/>
      <c r="AD27" s="241" t="s">
        <v>10</v>
      </c>
      <c r="AE27" s="362" t="s">
        <v>126</v>
      </c>
      <c r="AF27" s="362"/>
      <c r="AG27" s="362"/>
      <c r="AH27" s="362"/>
    </row>
  </sheetData>
  <sheetProtection algorithmName="SHA-512" hashValue="zLmndcZcbyrdmqZOjxtvPp1bFQFOq3ymco/qqt5dJpmViXbLiSX1Ww0LTbzJoikF/c2cKUkjbdq3bWYyF/nMjA==" saltValue="p6r2WFkx2HLeMpIUhlLzPQ==" spinCount="100000" sheet="1" objects="1" scenarios="1"/>
  <mergeCells count="179">
    <mergeCell ref="D9:E9"/>
    <mergeCell ref="K9:L9"/>
    <mergeCell ref="R9:S9"/>
    <mergeCell ref="Y9:Z9"/>
    <mergeCell ref="AF9:AG9"/>
    <mergeCell ref="H2:H9"/>
    <mergeCell ref="I2:I5"/>
    <mergeCell ref="I6:I9"/>
    <mergeCell ref="AD6:AD9"/>
    <mergeCell ref="O2:O9"/>
    <mergeCell ref="P2:P5"/>
    <mergeCell ref="P6:P9"/>
    <mergeCell ref="AC2:AC9"/>
    <mergeCell ref="AD2:AD5"/>
    <mergeCell ref="AF6:AG6"/>
    <mergeCell ref="AF7:AG7"/>
    <mergeCell ref="AF4:AG4"/>
    <mergeCell ref="R5:S5"/>
    <mergeCell ref="Y5:Z5"/>
    <mergeCell ref="AF5:AG5"/>
    <mergeCell ref="Y19:Z19"/>
    <mergeCell ref="AF19:AG19"/>
    <mergeCell ref="AC24:AC27"/>
    <mergeCell ref="AD24:AD25"/>
    <mergeCell ref="AE26:AH26"/>
    <mergeCell ref="Q10:S10"/>
    <mergeCell ref="Q11:S11"/>
    <mergeCell ref="AE10:AG10"/>
    <mergeCell ref="AE11:AG11"/>
    <mergeCell ref="AF16:AG16"/>
    <mergeCell ref="X26:AA26"/>
    <mergeCell ref="X27:AA27"/>
    <mergeCell ref="R23:S23"/>
    <mergeCell ref="Y23:Z23"/>
    <mergeCell ref="AF23:AG23"/>
    <mergeCell ref="AD20:AD23"/>
    <mergeCell ref="AE13:AH13"/>
    <mergeCell ref="R19:S19"/>
    <mergeCell ref="R8:S8"/>
    <mergeCell ref="Y8:Z8"/>
    <mergeCell ref="W6:W9"/>
    <mergeCell ref="AF8:AG8"/>
    <mergeCell ref="X24:Z24"/>
    <mergeCell ref="X25:Z25"/>
    <mergeCell ref="R16:S16"/>
    <mergeCell ref="R17:S17"/>
    <mergeCell ref="R20:S20"/>
    <mergeCell ref="R21:S21"/>
    <mergeCell ref="Q12:T12"/>
    <mergeCell ref="Q13:T13"/>
    <mergeCell ref="W24:W25"/>
    <mergeCell ref="Y16:Z16"/>
    <mergeCell ref="Y17:Z17"/>
    <mergeCell ref="Y20:Z20"/>
    <mergeCell ref="AC16:AC23"/>
    <mergeCell ref="Y21:Z21"/>
    <mergeCell ref="Q24:S24"/>
    <mergeCell ref="Q25:S25"/>
    <mergeCell ref="R18:S18"/>
    <mergeCell ref="Y18:Z18"/>
    <mergeCell ref="R22:S22"/>
    <mergeCell ref="Y22:Z22"/>
    <mergeCell ref="W2:W5"/>
    <mergeCell ref="R4:S4"/>
    <mergeCell ref="Y4:Z4"/>
    <mergeCell ref="C10:E10"/>
    <mergeCell ref="H1:L1"/>
    <mergeCell ref="K2:L2"/>
    <mergeCell ref="K3:L3"/>
    <mergeCell ref="K6:L6"/>
    <mergeCell ref="K7:L7"/>
    <mergeCell ref="J10:L10"/>
    <mergeCell ref="A1:E1"/>
    <mergeCell ref="D2:E2"/>
    <mergeCell ref="D3:E3"/>
    <mergeCell ref="D6:E6"/>
    <mergeCell ref="D7:E7"/>
    <mergeCell ref="B2:B5"/>
    <mergeCell ref="B6:B9"/>
    <mergeCell ref="A2:A9"/>
    <mergeCell ref="A10:A13"/>
    <mergeCell ref="B10:B11"/>
    <mergeCell ref="D4:E4"/>
    <mergeCell ref="D8:E8"/>
    <mergeCell ref="D5:E5"/>
    <mergeCell ref="K8:L8"/>
    <mergeCell ref="C12:F12"/>
    <mergeCell ref="AF2:AG2"/>
    <mergeCell ref="AF3:AG3"/>
    <mergeCell ref="AF22:AG22"/>
    <mergeCell ref="H10:H13"/>
    <mergeCell ref="Q26:T26"/>
    <mergeCell ref="Q27:T27"/>
    <mergeCell ref="V16:V23"/>
    <mergeCell ref="W16:W19"/>
    <mergeCell ref="W20:W23"/>
    <mergeCell ref="V24:V27"/>
    <mergeCell ref="K4:L4"/>
    <mergeCell ref="K5:L5"/>
    <mergeCell ref="Y2:Z2"/>
    <mergeCell ref="Y3:Z3"/>
    <mergeCell ref="Y6:Z6"/>
    <mergeCell ref="Y7:Z7"/>
    <mergeCell ref="R2:S2"/>
    <mergeCell ref="R3:S3"/>
    <mergeCell ref="R6:S6"/>
    <mergeCell ref="R7:S7"/>
    <mergeCell ref="V2:V9"/>
    <mergeCell ref="O24:O27"/>
    <mergeCell ref="P24:P25"/>
    <mergeCell ref="C13:F13"/>
    <mergeCell ref="V10:V13"/>
    <mergeCell ref="W10:W11"/>
    <mergeCell ref="AC10:AC13"/>
    <mergeCell ref="AD10:AD11"/>
    <mergeCell ref="D18:E18"/>
    <mergeCell ref="K18:L18"/>
    <mergeCell ref="AF18:AG18"/>
    <mergeCell ref="AD16:AD19"/>
    <mergeCell ref="D19:E19"/>
    <mergeCell ref="K19:L19"/>
    <mergeCell ref="I10:I11"/>
    <mergeCell ref="J11:L11"/>
    <mergeCell ref="J12:M12"/>
    <mergeCell ref="J13:M13"/>
    <mergeCell ref="X13:AA13"/>
    <mergeCell ref="X10:Z10"/>
    <mergeCell ref="X11:Z11"/>
    <mergeCell ref="X12:AA12"/>
    <mergeCell ref="AE12:AH12"/>
    <mergeCell ref="O16:O23"/>
    <mergeCell ref="P16:P19"/>
    <mergeCell ref="P20:P23"/>
    <mergeCell ref="AF17:AG17"/>
    <mergeCell ref="A24:A27"/>
    <mergeCell ref="B24:B25"/>
    <mergeCell ref="J24:L24"/>
    <mergeCell ref="J25:L25"/>
    <mergeCell ref="D21:E21"/>
    <mergeCell ref="C24:E24"/>
    <mergeCell ref="C25:E25"/>
    <mergeCell ref="K20:L20"/>
    <mergeCell ref="K21:L21"/>
    <mergeCell ref="A16:A23"/>
    <mergeCell ref="B16:B19"/>
    <mergeCell ref="B20:B23"/>
    <mergeCell ref="D22:E22"/>
    <mergeCell ref="K22:L22"/>
    <mergeCell ref="C27:F27"/>
    <mergeCell ref="C26:F26"/>
    <mergeCell ref="D16:E16"/>
    <mergeCell ref="D17:E17"/>
    <mergeCell ref="D20:E20"/>
    <mergeCell ref="D23:E23"/>
    <mergeCell ref="K23:L23"/>
    <mergeCell ref="O1:S1"/>
    <mergeCell ref="V1:Z1"/>
    <mergeCell ref="AC1:AG1"/>
    <mergeCell ref="A15:E15"/>
    <mergeCell ref="H15:L15"/>
    <mergeCell ref="O15:S15"/>
    <mergeCell ref="V15:Z15"/>
    <mergeCell ref="AC15:AG15"/>
    <mergeCell ref="AE27:AH27"/>
    <mergeCell ref="AF20:AG20"/>
    <mergeCell ref="AF21:AG21"/>
    <mergeCell ref="AE24:AG24"/>
    <mergeCell ref="AE25:AG25"/>
    <mergeCell ref="I24:I25"/>
    <mergeCell ref="J26:M26"/>
    <mergeCell ref="H24:H27"/>
    <mergeCell ref="H16:H23"/>
    <mergeCell ref="I16:I19"/>
    <mergeCell ref="I20:I23"/>
    <mergeCell ref="J27:M27"/>
    <mergeCell ref="K16:L16"/>
    <mergeCell ref="K17:L17"/>
    <mergeCell ref="O10:O13"/>
    <mergeCell ref="P10:P11"/>
  </mergeCells>
  <phoneticPr fontId="2"/>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